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12" windowWidth="23256" windowHeight="13176" activeTab="1"/>
  </bookViews>
  <sheets>
    <sheet name="Контакты" sheetId="1" r:id="rId1"/>
    <sheet name="Neon-Night" sheetId="5" r:id="rId2"/>
  </sheets>
  <definedNames>
    <definedName name="_xlnm._FilterDatabase" localSheetId="1" hidden="1">'Neon-Night'!$A$1:$A$1445</definedName>
  </definedNames>
  <calcPr calcId="144525"/>
  <customWorkbookViews>
    <customWorkbookView name="Фильтр 1" guid="{5CD35E4B-B94D-422C-9848-EC0AA51CC182}" maximized="1" windowWidth="0" windowHeight="0" activeSheetId="0"/>
  </customWorkbookViews>
</workbook>
</file>

<file path=xl/calcChain.xml><?xml version="1.0" encoding="utf-8"?>
<calcChain xmlns="http://schemas.openxmlformats.org/spreadsheetml/2006/main">
  <c r="G15" i="5" l="1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2" i="5"/>
  <c r="G94" i="5"/>
  <c r="G95" i="5"/>
  <c r="G96" i="5"/>
  <c r="G97" i="5"/>
  <c r="G99" i="5"/>
  <c r="G100" i="5"/>
  <c r="G101" i="5"/>
  <c r="G102" i="5"/>
  <c r="G104" i="5"/>
  <c r="G105" i="5"/>
  <c r="G106" i="5"/>
  <c r="G108" i="5"/>
  <c r="G109" i="5"/>
  <c r="G110" i="5"/>
  <c r="G111" i="5"/>
  <c r="G112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3" i="5"/>
  <c r="G134" i="5"/>
  <c r="G135" i="5"/>
  <c r="G136" i="5"/>
  <c r="G137" i="5"/>
  <c r="G139" i="5"/>
  <c r="G140" i="5"/>
  <c r="G141" i="5"/>
  <c r="G142" i="5"/>
  <c r="G143" i="5"/>
  <c r="G144" i="5"/>
  <c r="G145" i="5"/>
  <c r="G147" i="5"/>
  <c r="G148" i="5"/>
  <c r="G149" i="5"/>
  <c r="G150" i="5"/>
  <c r="G151" i="5"/>
  <c r="G152" i="5"/>
  <c r="G153" i="5"/>
  <c r="G155" i="5"/>
  <c r="G156" i="5"/>
  <c r="G157" i="5"/>
  <c r="G158" i="5"/>
  <c r="G159" i="5"/>
  <c r="G160" i="5"/>
  <c r="G161" i="5"/>
  <c r="G163" i="5"/>
  <c r="G164" i="5"/>
  <c r="G165" i="5"/>
  <c r="G166" i="5"/>
  <c r="G167" i="5"/>
  <c r="G168" i="5"/>
  <c r="G169" i="5"/>
  <c r="G171" i="5"/>
  <c r="G172" i="5"/>
  <c r="G173" i="5"/>
  <c r="G174" i="5"/>
  <c r="G175" i="5"/>
  <c r="G176" i="5"/>
  <c r="G177" i="5"/>
  <c r="G179" i="5"/>
  <c r="G180" i="5"/>
  <c r="G181" i="5"/>
  <c r="G182" i="5"/>
  <c r="G183" i="5"/>
  <c r="G184" i="5"/>
  <c r="G186" i="5"/>
  <c r="G187" i="5"/>
  <c r="G188" i="5"/>
  <c r="G189" i="5"/>
  <c r="G191" i="5"/>
  <c r="G192" i="5"/>
  <c r="G193" i="5"/>
  <c r="G194" i="5"/>
  <c r="G195" i="5"/>
  <c r="G197" i="5"/>
  <c r="G198" i="5"/>
  <c r="G200" i="5"/>
  <c r="G201" i="5"/>
  <c r="G203" i="5"/>
  <c r="G204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20" i="5"/>
  <c r="G321" i="5"/>
  <c r="G322" i="5"/>
  <c r="G323" i="5"/>
  <c r="G324" i="5"/>
  <c r="G325" i="5"/>
  <c r="G326" i="5"/>
  <c r="G327" i="5"/>
  <c r="G329" i="5"/>
  <c r="G330" i="5"/>
  <c r="G331" i="5"/>
  <c r="G332" i="5"/>
  <c r="G333" i="5"/>
  <c r="G334" i="5"/>
  <c r="G335" i="5"/>
  <c r="G336" i="5"/>
  <c r="G337" i="5"/>
  <c r="G338" i="5"/>
  <c r="G339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9" i="5"/>
  <c r="G380" i="5"/>
  <c r="G381" i="5"/>
  <c r="G382" i="5"/>
  <c r="G383" i="5"/>
  <c r="G384" i="5"/>
  <c r="G385" i="5"/>
  <c r="G386" i="5"/>
  <c r="G388" i="5"/>
  <c r="G389" i="5"/>
  <c r="G390" i="5"/>
  <c r="G391" i="5"/>
  <c r="G392" i="5"/>
  <c r="G393" i="5"/>
  <c r="G394" i="5"/>
  <c r="G395" i="5"/>
  <c r="G396" i="5"/>
  <c r="G397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2" i="5"/>
  <c r="G413" i="5"/>
  <c r="G414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4" i="5"/>
  <c r="G435" i="5"/>
  <c r="G436" i="5"/>
  <c r="G437" i="5"/>
  <c r="G438" i="5"/>
  <c r="G439" i="5"/>
  <c r="G440" i="5"/>
  <c r="G441" i="5"/>
  <c r="G443" i="5"/>
  <c r="G444" i="5"/>
  <c r="G445" i="5"/>
  <c r="G446" i="5"/>
  <c r="G447" i="5"/>
  <c r="G448" i="5"/>
  <c r="G449" i="5"/>
  <c r="G450" i="5"/>
  <c r="G451" i="5"/>
  <c r="G452" i="5"/>
  <c r="G453" i="5"/>
  <c r="G456" i="5"/>
  <c r="G457" i="5"/>
  <c r="G458" i="5"/>
  <c r="G459" i="5"/>
  <c r="G460" i="5"/>
  <c r="G461" i="5"/>
  <c r="G462" i="5"/>
  <c r="G463" i="5"/>
  <c r="G464" i="5"/>
  <c r="G465" i="5"/>
  <c r="G467" i="5"/>
  <c r="G468" i="5"/>
  <c r="G469" i="5"/>
  <c r="G470" i="5"/>
  <c r="G471" i="5"/>
  <c r="G472" i="5"/>
  <c r="G473" i="5"/>
  <c r="G474" i="5"/>
  <c r="G475" i="5"/>
  <c r="G476" i="5"/>
  <c r="G478" i="5"/>
  <c r="G479" i="5"/>
  <c r="G480" i="5"/>
  <c r="G481" i="5"/>
  <c r="G482" i="5"/>
  <c r="G484" i="5"/>
  <c r="G485" i="5"/>
  <c r="G486" i="5"/>
  <c r="G487" i="5"/>
  <c r="G488" i="5"/>
  <c r="G489" i="5"/>
  <c r="G490" i="5"/>
  <c r="G491" i="5"/>
  <c r="G492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3" i="5"/>
  <c r="G544" i="5"/>
  <c r="G545" i="5"/>
  <c r="G546" i="5"/>
  <c r="G547" i="5"/>
  <c r="G548" i="5"/>
  <c r="G549" i="5"/>
  <c r="G550" i="5"/>
  <c r="G552" i="5"/>
  <c r="G553" i="5"/>
  <c r="G554" i="5"/>
  <c r="G555" i="5"/>
  <c r="G556" i="5"/>
  <c r="G557" i="5"/>
  <c r="G558" i="5"/>
  <c r="G559" i="5"/>
  <c r="G560" i="5"/>
  <c r="G561" i="5"/>
  <c r="G563" i="5"/>
  <c r="G564" i="5"/>
  <c r="G565" i="5"/>
  <c r="G566" i="5"/>
  <c r="G567" i="5"/>
  <c r="G568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5" i="5"/>
  <c r="G586" i="5"/>
  <c r="G587" i="5"/>
  <c r="G588" i="5"/>
  <c r="G589" i="5"/>
  <c r="G590" i="5"/>
  <c r="G591" i="5"/>
  <c r="G593" i="5"/>
  <c r="G594" i="5"/>
  <c r="G595" i="5"/>
  <c r="G596" i="5"/>
  <c r="G598" i="5"/>
  <c r="G599" i="5"/>
  <c r="G600" i="5"/>
  <c r="G601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6" i="5"/>
  <c r="G627" i="5"/>
  <c r="G628" i="5"/>
  <c r="G629" i="5"/>
  <c r="G631" i="5"/>
  <c r="G632" i="5"/>
  <c r="G633" i="5"/>
  <c r="G634" i="5"/>
  <c r="G635" i="5"/>
  <c r="G636" i="5"/>
  <c r="G637" i="5"/>
  <c r="G638" i="5"/>
  <c r="G639" i="5"/>
  <c r="G640" i="5"/>
  <c r="G642" i="5"/>
  <c r="G643" i="5"/>
  <c r="G644" i="5"/>
  <c r="G645" i="5"/>
  <c r="G647" i="5"/>
  <c r="G648" i="5"/>
  <c r="G649" i="5"/>
  <c r="G650" i="5"/>
  <c r="G651" i="5"/>
  <c r="G652" i="5"/>
  <c r="G653" i="5"/>
  <c r="G654" i="5"/>
  <c r="G655" i="5"/>
  <c r="G656" i="5"/>
  <c r="G657" i="5"/>
  <c r="G658" i="5"/>
  <c r="G659" i="5"/>
  <c r="G660" i="5"/>
  <c r="G661" i="5"/>
  <c r="G662" i="5"/>
  <c r="G663" i="5"/>
  <c r="G666" i="5"/>
  <c r="G667" i="5"/>
  <c r="G668" i="5"/>
  <c r="G669" i="5"/>
  <c r="G671" i="5"/>
  <c r="G672" i="5"/>
  <c r="G674" i="5"/>
  <c r="G675" i="5"/>
  <c r="G676" i="5"/>
  <c r="G677" i="5"/>
  <c r="G678" i="5"/>
  <c r="G680" i="5"/>
  <c r="G682" i="5"/>
  <c r="G683" i="5"/>
  <c r="G684" i="5"/>
  <c r="G685" i="5"/>
  <c r="G686" i="5"/>
  <c r="G687" i="5"/>
  <c r="G688" i="5"/>
  <c r="G689" i="5"/>
  <c r="G690" i="5"/>
  <c r="G691" i="5"/>
  <c r="G692" i="5"/>
  <c r="G693" i="5"/>
  <c r="G694" i="5"/>
  <c r="G695" i="5"/>
  <c r="G697" i="5"/>
  <c r="G698" i="5"/>
  <c r="G700" i="5"/>
  <c r="G701" i="5"/>
  <c r="G703" i="5"/>
  <c r="G704" i="5"/>
  <c r="G705" i="5"/>
  <c r="G706" i="5"/>
  <c r="G707" i="5"/>
  <c r="G708" i="5"/>
  <c r="G709" i="5"/>
  <c r="G710" i="5"/>
  <c r="G711" i="5"/>
  <c r="G712" i="5"/>
  <c r="G713" i="5"/>
  <c r="G714" i="5"/>
  <c r="G715" i="5"/>
  <c r="G716" i="5"/>
  <c r="G717" i="5"/>
  <c r="G718" i="5"/>
  <c r="G719" i="5"/>
  <c r="G720" i="5"/>
  <c r="G721" i="5"/>
  <c r="G722" i="5"/>
  <c r="G723" i="5"/>
  <c r="G724" i="5"/>
  <c r="G725" i="5"/>
  <c r="G726" i="5"/>
  <c r="G727" i="5"/>
  <c r="G728" i="5"/>
  <c r="G729" i="5"/>
  <c r="G730" i="5"/>
  <c r="G731" i="5"/>
  <c r="G732" i="5"/>
  <c r="G733" i="5"/>
  <c r="G734" i="5"/>
  <c r="G735" i="5"/>
  <c r="G736" i="5"/>
  <c r="G737" i="5"/>
  <c r="G738" i="5"/>
  <c r="G739" i="5"/>
  <c r="G740" i="5"/>
  <c r="G741" i="5"/>
  <c r="G742" i="5"/>
  <c r="G743" i="5"/>
  <c r="G744" i="5"/>
  <c r="G745" i="5"/>
  <c r="G746" i="5"/>
  <c r="G747" i="5"/>
  <c r="G748" i="5"/>
  <c r="G749" i="5"/>
  <c r="G750" i="5"/>
  <c r="G751" i="5"/>
  <c r="G752" i="5"/>
  <c r="G753" i="5"/>
  <c r="G754" i="5"/>
  <c r="G755" i="5"/>
  <c r="G756" i="5"/>
  <c r="G757" i="5"/>
  <c r="G758" i="5"/>
  <c r="G761" i="5"/>
  <c r="G762" i="5"/>
  <c r="G763" i="5"/>
  <c r="G764" i="5"/>
  <c r="G765" i="5"/>
  <c r="G766" i="5"/>
  <c r="G767" i="5"/>
  <c r="G768" i="5"/>
  <c r="G770" i="5"/>
  <c r="G771" i="5"/>
  <c r="G772" i="5"/>
  <c r="G773" i="5"/>
  <c r="G774" i="5"/>
  <c r="G775" i="5"/>
  <c r="G776" i="5"/>
  <c r="G777" i="5"/>
  <c r="G778" i="5"/>
  <c r="G779" i="5"/>
  <c r="G780" i="5"/>
  <c r="G781" i="5"/>
  <c r="G782" i="5"/>
  <c r="G783" i="5"/>
  <c r="G784" i="5"/>
  <c r="G785" i="5"/>
  <c r="G786" i="5"/>
  <c r="G787" i="5"/>
  <c r="G788" i="5"/>
  <c r="G789" i="5"/>
  <c r="G790" i="5"/>
  <c r="G791" i="5"/>
  <c r="G792" i="5"/>
  <c r="G793" i="5"/>
  <c r="G794" i="5"/>
  <c r="G795" i="5"/>
  <c r="G796" i="5"/>
  <c r="G798" i="5"/>
  <c r="G799" i="5"/>
  <c r="G800" i="5"/>
  <c r="G801" i="5"/>
  <c r="G802" i="5"/>
  <c r="G803" i="5"/>
  <c r="G804" i="5"/>
  <c r="G805" i="5"/>
  <c r="G806" i="5"/>
  <c r="G807" i="5"/>
  <c r="G808" i="5"/>
  <c r="G809" i="5"/>
  <c r="G810" i="5"/>
  <c r="G811" i="5"/>
  <c r="G812" i="5"/>
  <c r="G813" i="5"/>
  <c r="G814" i="5"/>
  <c r="G815" i="5"/>
  <c r="G816" i="5"/>
  <c r="G817" i="5"/>
  <c r="G818" i="5"/>
  <c r="G820" i="5"/>
  <c r="G821" i="5"/>
  <c r="G822" i="5"/>
  <c r="G823" i="5"/>
  <c r="G824" i="5"/>
  <c r="G825" i="5"/>
  <c r="G826" i="5"/>
  <c r="G827" i="5"/>
  <c r="G828" i="5"/>
  <c r="G829" i="5"/>
  <c r="G830" i="5"/>
  <c r="G831" i="5"/>
  <c r="G833" i="5"/>
  <c r="G834" i="5"/>
  <c r="G835" i="5"/>
  <c r="G836" i="5"/>
  <c r="G837" i="5"/>
  <c r="G838" i="5"/>
  <c r="G839" i="5"/>
  <c r="G841" i="5"/>
  <c r="G842" i="5"/>
  <c r="G843" i="5"/>
  <c r="G844" i="5"/>
  <c r="G845" i="5"/>
  <c r="G846" i="5"/>
  <c r="G848" i="5"/>
  <c r="G849" i="5"/>
  <c r="G850" i="5"/>
  <c r="G852" i="5"/>
  <c r="G854" i="5"/>
  <c r="G855" i="5"/>
  <c r="G856" i="5"/>
  <c r="G859" i="5"/>
  <c r="G860" i="5"/>
  <c r="G861" i="5"/>
  <c r="G863" i="5"/>
  <c r="G864" i="5"/>
  <c r="G865" i="5"/>
  <c r="G866" i="5"/>
  <c r="G867" i="5"/>
  <c r="G868" i="5"/>
  <c r="G869" i="5"/>
  <c r="G870" i="5"/>
  <c r="G871" i="5"/>
  <c r="G872" i="5"/>
  <c r="G873" i="5"/>
  <c r="G874" i="5"/>
  <c r="G875" i="5"/>
  <c r="G877" i="5"/>
  <c r="G878" i="5"/>
  <c r="G879" i="5"/>
  <c r="G880" i="5"/>
  <c r="G881" i="5"/>
  <c r="G882" i="5"/>
  <c r="G883" i="5"/>
  <c r="G884" i="5"/>
  <c r="G885" i="5"/>
  <c r="G886" i="5"/>
  <c r="G887" i="5"/>
  <c r="G888" i="5"/>
  <c r="G889" i="5"/>
  <c r="G890" i="5"/>
  <c r="G891" i="5"/>
  <c r="G892" i="5"/>
  <c r="G893" i="5"/>
  <c r="G894" i="5"/>
  <c r="G895" i="5"/>
  <c r="G896" i="5"/>
  <c r="G897" i="5"/>
  <c r="G898" i="5"/>
  <c r="G899" i="5"/>
  <c r="G900" i="5"/>
  <c r="G901" i="5"/>
  <c r="G902" i="5"/>
  <c r="G904" i="5"/>
  <c r="G905" i="5"/>
  <c r="G907" i="5"/>
  <c r="G908" i="5"/>
  <c r="G909" i="5"/>
  <c r="G910" i="5"/>
  <c r="G912" i="5"/>
  <c r="G913" i="5"/>
  <c r="G914" i="5"/>
  <c r="G915" i="5"/>
  <c r="G916" i="5"/>
  <c r="G917" i="5"/>
  <c r="G918" i="5"/>
  <c r="G919" i="5"/>
  <c r="G920" i="5"/>
  <c r="G921" i="5"/>
  <c r="G922" i="5"/>
  <c r="G923" i="5"/>
  <c r="G924" i="5"/>
  <c r="G925" i="5"/>
  <c r="G926" i="5"/>
  <c r="G927" i="5"/>
  <c r="G928" i="5"/>
  <c r="G930" i="5"/>
  <c r="G931" i="5"/>
  <c r="G932" i="5"/>
  <c r="G933" i="5"/>
  <c r="G934" i="5"/>
  <c r="G935" i="5"/>
  <c r="G937" i="5"/>
  <c r="G938" i="5"/>
  <c r="G939" i="5"/>
  <c r="G940" i="5"/>
  <c r="G941" i="5"/>
  <c r="G942" i="5"/>
  <c r="G943" i="5"/>
  <c r="G944" i="5"/>
  <c r="G945" i="5"/>
  <c r="G946" i="5"/>
  <c r="G947" i="5"/>
  <c r="G948" i="5"/>
  <c r="G949" i="5"/>
  <c r="G950" i="5"/>
  <c r="G952" i="5"/>
  <c r="G953" i="5"/>
  <c r="G956" i="5"/>
  <c r="G957" i="5"/>
  <c r="G958" i="5"/>
  <c r="G960" i="5"/>
  <c r="G961" i="5"/>
  <c r="G962" i="5"/>
  <c r="G963" i="5"/>
  <c r="G964" i="5"/>
  <c r="G965" i="5"/>
  <c r="G966" i="5"/>
  <c r="G967" i="5"/>
  <c r="G969" i="5"/>
  <c r="G970" i="5"/>
  <c r="G971" i="5"/>
  <c r="G973" i="5"/>
  <c r="G974" i="5"/>
  <c r="G975" i="5"/>
  <c r="G976" i="5"/>
  <c r="G977" i="5"/>
  <c r="G978" i="5"/>
  <c r="G980" i="5"/>
  <c r="G981" i="5"/>
  <c r="G982" i="5"/>
  <c r="G984" i="5"/>
  <c r="G985" i="5"/>
  <c r="G987" i="5"/>
  <c r="G988" i="5"/>
  <c r="G989" i="5"/>
  <c r="G990" i="5"/>
  <c r="G991" i="5"/>
  <c r="G993" i="5"/>
  <c r="G994" i="5"/>
  <c r="G997" i="5"/>
  <c r="G998" i="5"/>
  <c r="G999" i="5"/>
  <c r="G1000" i="5"/>
  <c r="G1001" i="5"/>
  <c r="G1002" i="5"/>
  <c r="G1003" i="5"/>
  <c r="G1004" i="5"/>
  <c r="G1005" i="5"/>
  <c r="G1007" i="5"/>
  <c r="G1008" i="5"/>
  <c r="G1009" i="5"/>
  <c r="G1010" i="5"/>
  <c r="G1011" i="5"/>
  <c r="G1012" i="5"/>
  <c r="G1013" i="5"/>
  <c r="G1014" i="5"/>
  <c r="G1015" i="5"/>
  <c r="G1016" i="5"/>
  <c r="G1017" i="5"/>
  <c r="G1018" i="5"/>
  <c r="G1019" i="5"/>
  <c r="G1020" i="5"/>
  <c r="G1021" i="5"/>
  <c r="G1022" i="5"/>
  <c r="G1023" i="5"/>
  <c r="G1024" i="5"/>
  <c r="G1025" i="5"/>
  <c r="G1026" i="5"/>
  <c r="G1027" i="5"/>
  <c r="G1028" i="5"/>
  <c r="G1029" i="5"/>
  <c r="G1030" i="5"/>
  <c r="G1031" i="5"/>
  <c r="G1032" i="5"/>
  <c r="G1033" i="5"/>
  <c r="G1034" i="5"/>
  <c r="G1035" i="5"/>
  <c r="G1036" i="5"/>
  <c r="G1037" i="5"/>
  <c r="G1038" i="5"/>
  <c r="G1039" i="5"/>
  <c r="G1040" i="5"/>
  <c r="G1041" i="5"/>
  <c r="G1042" i="5"/>
  <c r="G1043" i="5"/>
  <c r="G1044" i="5"/>
  <c r="G1045" i="5"/>
  <c r="G1046" i="5"/>
  <c r="G1047" i="5"/>
  <c r="G1048" i="5"/>
  <c r="G1049" i="5"/>
  <c r="G1050" i="5"/>
  <c r="G1051" i="5"/>
  <c r="G1052" i="5"/>
  <c r="G1053" i="5"/>
  <c r="G1054" i="5"/>
  <c r="G1055" i="5"/>
  <c r="G1056" i="5"/>
  <c r="G1057" i="5"/>
  <c r="G1058" i="5"/>
  <c r="G1059" i="5"/>
  <c r="G1060" i="5"/>
  <c r="G1061" i="5"/>
  <c r="G1062" i="5"/>
  <c r="G1063" i="5"/>
  <c r="G1064" i="5"/>
  <c r="G1065" i="5"/>
  <c r="G1066" i="5"/>
  <c r="G1067" i="5"/>
  <c r="G1068" i="5"/>
  <c r="G1069" i="5"/>
  <c r="G1070" i="5"/>
  <c r="G1071" i="5"/>
  <c r="G1072" i="5"/>
  <c r="G1074" i="5"/>
  <c r="G1075" i="5"/>
  <c r="G1076" i="5"/>
  <c r="G1077" i="5"/>
  <c r="G1078" i="5"/>
  <c r="G1079" i="5"/>
  <c r="G1080" i="5"/>
  <c r="G1081" i="5"/>
  <c r="G1082" i="5"/>
  <c r="G1083" i="5"/>
  <c r="G1084" i="5"/>
  <c r="G1085" i="5"/>
  <c r="G1086" i="5"/>
  <c r="G1087" i="5"/>
  <c r="G1088" i="5"/>
  <c r="G1089" i="5"/>
  <c r="G1090" i="5"/>
  <c r="G1091" i="5"/>
  <c r="G1092" i="5"/>
  <c r="G1093" i="5"/>
  <c r="G1094" i="5"/>
  <c r="G1095" i="5"/>
  <c r="G1096" i="5"/>
  <c r="G1097" i="5"/>
  <c r="G1098" i="5"/>
  <c r="G1099" i="5"/>
  <c r="G1100" i="5"/>
  <c r="G1101" i="5"/>
  <c r="G1102" i="5"/>
  <c r="G1103" i="5"/>
  <c r="G1104" i="5"/>
  <c r="G1105" i="5"/>
  <c r="G1106" i="5"/>
  <c r="G1108" i="5"/>
  <c r="G1109" i="5"/>
  <c r="G1110" i="5"/>
  <c r="G1111" i="5"/>
  <c r="G1112" i="5"/>
  <c r="G1113" i="5"/>
  <c r="G1114" i="5"/>
  <c r="G1115" i="5"/>
  <c r="G1116" i="5"/>
  <c r="G1117" i="5"/>
  <c r="G1118" i="5"/>
  <c r="G1119" i="5"/>
  <c r="G1120" i="5"/>
  <c r="G1121" i="5"/>
  <c r="G1123" i="5"/>
  <c r="G1124" i="5"/>
  <c r="G1125" i="5"/>
  <c r="G1126" i="5"/>
  <c r="G1127" i="5"/>
  <c r="G1129" i="5"/>
  <c r="G1130" i="5"/>
  <c r="G1131" i="5"/>
  <c r="G1132" i="5"/>
  <c r="G1133" i="5"/>
  <c r="G1134" i="5"/>
  <c r="G1135" i="5"/>
  <c r="G1136" i="5"/>
  <c r="G1137" i="5"/>
  <c r="G1139" i="5"/>
  <c r="G1140" i="5"/>
  <c r="G1141" i="5"/>
  <c r="G1142" i="5"/>
  <c r="G1144" i="5"/>
  <c r="G1145" i="5"/>
  <c r="G1146" i="5"/>
  <c r="G1147" i="5"/>
  <c r="G1149" i="5"/>
  <c r="G1150" i="5"/>
  <c r="G1151" i="5"/>
  <c r="G1152" i="5"/>
  <c r="G1155" i="5"/>
  <c r="G1156" i="5"/>
  <c r="G1157" i="5"/>
  <c r="G1158" i="5"/>
  <c r="G1159" i="5"/>
  <c r="G1160" i="5"/>
  <c r="G1161" i="5"/>
  <c r="G1162" i="5"/>
  <c r="G1163" i="5"/>
  <c r="G1164" i="5"/>
  <c r="G1165" i="5"/>
  <c r="G1167" i="5"/>
  <c r="G1168" i="5"/>
  <c r="G1169" i="5"/>
  <c r="G1170" i="5"/>
  <c r="G1171" i="5"/>
  <c r="G1172" i="5"/>
  <c r="G1173" i="5"/>
  <c r="G1174" i="5"/>
  <c r="G1175" i="5"/>
  <c r="G1177" i="5"/>
  <c r="G1178" i="5"/>
  <c r="G1179" i="5"/>
  <c r="G1180" i="5"/>
  <c r="G1181" i="5"/>
  <c r="G1182" i="5"/>
  <c r="G1183" i="5"/>
  <c r="G1184" i="5"/>
  <c r="G1185" i="5"/>
  <c r="G1186" i="5"/>
  <c r="G1187" i="5"/>
  <c r="G1189" i="5"/>
  <c r="G1190" i="5"/>
  <c r="G1191" i="5"/>
  <c r="G1192" i="5"/>
  <c r="G1193" i="5"/>
  <c r="G1194" i="5"/>
  <c r="G1195" i="5"/>
  <c r="G1196" i="5"/>
  <c r="G1197" i="5"/>
  <c r="G1198" i="5"/>
  <c r="G1201" i="5"/>
  <c r="G1202" i="5"/>
  <c r="G1203" i="5"/>
  <c r="G1204" i="5"/>
  <c r="G1205" i="5"/>
  <c r="G1206" i="5"/>
  <c r="G1207" i="5"/>
  <c r="G1208" i="5"/>
  <c r="G1209" i="5"/>
  <c r="G1210" i="5"/>
  <c r="G1211" i="5"/>
  <c r="G1212" i="5"/>
  <c r="G1213" i="5"/>
  <c r="G1214" i="5"/>
  <c r="G1215" i="5"/>
  <c r="G1216" i="5"/>
  <c r="G1217" i="5"/>
  <c r="G1219" i="5"/>
  <c r="G1220" i="5"/>
  <c r="G1222" i="5"/>
  <c r="G1223" i="5"/>
  <c r="G1224" i="5"/>
  <c r="G1225" i="5"/>
  <c r="G1226" i="5"/>
  <c r="G1227" i="5"/>
  <c r="G1228" i="5"/>
  <c r="G1229" i="5"/>
  <c r="G1230" i="5"/>
  <c r="G1231" i="5"/>
  <c r="G1232" i="5"/>
  <c r="G1233" i="5"/>
  <c r="G1236" i="5"/>
  <c r="G1237" i="5"/>
  <c r="G1238" i="5"/>
  <c r="G1239" i="5"/>
  <c r="G1240" i="5"/>
  <c r="G1242" i="5"/>
  <c r="G1243" i="5"/>
  <c r="G1244" i="5"/>
  <c r="G1245" i="5"/>
  <c r="G1246" i="5"/>
  <c r="G1247" i="5"/>
  <c r="G1248" i="5"/>
  <c r="G1250" i="5"/>
  <c r="G1251" i="5"/>
  <c r="G1252" i="5"/>
  <c r="G1253" i="5"/>
  <c r="G1254" i="5"/>
  <c r="G1255" i="5"/>
  <c r="G1257" i="5"/>
  <c r="G1258" i="5"/>
  <c r="G1259" i="5"/>
  <c r="G1260" i="5"/>
  <c r="G1261" i="5"/>
  <c r="G1262" i="5"/>
  <c r="G1263" i="5"/>
  <c r="G1265" i="5"/>
  <c r="G1266" i="5"/>
  <c r="G1267" i="5"/>
  <c r="G1268" i="5"/>
  <c r="G1270" i="5"/>
  <c r="G1271" i="5"/>
  <c r="G1273" i="5"/>
  <c r="G1274" i="5"/>
  <c r="G1276" i="5"/>
  <c r="G1277" i="5"/>
  <c r="G1279" i="5"/>
  <c r="G1280" i="5"/>
  <c r="G1281" i="5"/>
  <c r="G1283" i="5"/>
  <c r="G1286" i="5"/>
  <c r="G1287" i="5"/>
  <c r="G1288" i="5"/>
  <c r="G1289" i="5"/>
  <c r="G1290" i="5"/>
  <c r="G1291" i="5"/>
  <c r="G1292" i="5"/>
  <c r="G1293" i="5"/>
  <c r="G1294" i="5"/>
  <c r="G1295" i="5"/>
  <c r="G1296" i="5"/>
  <c r="G1297" i="5"/>
  <c r="G1298" i="5"/>
  <c r="G1299" i="5"/>
  <c r="G1300" i="5"/>
  <c r="G1301" i="5"/>
  <c r="G1302" i="5"/>
  <c r="G1303" i="5"/>
  <c r="G1304" i="5"/>
  <c r="G1305" i="5"/>
  <c r="G1306" i="5"/>
  <c r="G1307" i="5"/>
  <c r="G1309" i="5"/>
  <c r="G1310" i="5"/>
  <c r="G1311" i="5"/>
  <c r="G1312" i="5"/>
  <c r="G1313" i="5"/>
  <c r="G1314" i="5"/>
  <c r="G1315" i="5"/>
  <c r="G1316" i="5"/>
  <c r="G1317" i="5"/>
  <c r="G1318" i="5"/>
  <c r="G1319" i="5"/>
  <c r="G1320" i="5"/>
  <c r="G1321" i="5"/>
  <c r="G1322" i="5"/>
  <c r="G1323" i="5"/>
  <c r="G1324" i="5"/>
  <c r="G1325" i="5"/>
  <c r="G1326" i="5"/>
  <c r="G1327" i="5"/>
  <c r="G1328" i="5"/>
  <c r="G1329" i="5"/>
  <c r="G1330" i="5"/>
  <c r="G1331" i="5"/>
  <c r="G1332" i="5"/>
  <c r="G1333" i="5"/>
  <c r="G1334" i="5"/>
  <c r="G1335" i="5"/>
  <c r="G1336" i="5"/>
  <c r="G1337" i="5"/>
  <c r="G1338" i="5"/>
  <c r="G1339" i="5"/>
  <c r="G1340" i="5"/>
  <c r="G1341" i="5"/>
  <c r="G1342" i="5"/>
  <c r="G1343" i="5"/>
  <c r="G1344" i="5"/>
  <c r="G1345" i="5"/>
  <c r="G1346" i="5"/>
  <c r="G1347" i="5"/>
  <c r="G1348" i="5"/>
  <c r="G1350" i="5"/>
  <c r="G1351" i="5"/>
  <c r="G1352" i="5"/>
  <c r="G1353" i="5"/>
  <c r="G1354" i="5"/>
  <c r="G1355" i="5"/>
  <c r="G1356" i="5"/>
  <c r="G1357" i="5"/>
  <c r="G1358" i="5"/>
  <c r="G1361" i="5"/>
  <c r="G1362" i="5"/>
  <c r="G1363" i="5"/>
  <c r="G1364" i="5"/>
  <c r="G1365" i="5"/>
  <c r="G1366" i="5"/>
  <c r="G1367" i="5"/>
  <c r="G1368" i="5"/>
  <c r="G1369" i="5"/>
  <c r="G1370" i="5"/>
  <c r="G1371" i="5"/>
  <c r="G1372" i="5"/>
  <c r="G1373" i="5"/>
  <c r="G1374" i="5"/>
  <c r="G1375" i="5"/>
  <c r="G1376" i="5"/>
  <c r="G1377" i="5"/>
  <c r="G1378" i="5"/>
  <c r="G1379" i="5"/>
  <c r="G1380" i="5"/>
  <c r="G1381" i="5"/>
  <c r="G1383" i="5"/>
  <c r="G1384" i="5"/>
  <c r="G1385" i="5"/>
  <c r="G1386" i="5"/>
  <c r="G1387" i="5"/>
  <c r="G1388" i="5"/>
  <c r="G1389" i="5"/>
  <c r="G1390" i="5"/>
  <c r="G1391" i="5"/>
  <c r="G1392" i="5"/>
  <c r="G1394" i="5"/>
  <c r="G1395" i="5"/>
  <c r="G1396" i="5"/>
  <c r="G1397" i="5"/>
  <c r="G1398" i="5"/>
  <c r="G1399" i="5"/>
  <c r="G1400" i="5"/>
  <c r="G1401" i="5"/>
  <c r="G1403" i="5"/>
  <c r="G1404" i="5"/>
  <c r="G1405" i="5"/>
  <c r="G1406" i="5"/>
  <c r="G1407" i="5"/>
  <c r="G1408" i="5"/>
  <c r="G1409" i="5"/>
  <c r="G1410" i="5"/>
  <c r="G1411" i="5"/>
  <c r="G1412" i="5"/>
  <c r="G1413" i="5"/>
  <c r="G1415" i="5"/>
  <c r="G1416" i="5"/>
  <c r="G1417" i="5"/>
  <c r="G1418" i="5"/>
  <c r="G1419" i="5"/>
  <c r="G1420" i="5"/>
  <c r="G1421" i="5"/>
  <c r="I1421" i="5" s="1"/>
  <c r="G1422" i="5"/>
  <c r="G1424" i="5"/>
  <c r="G1425" i="5"/>
  <c r="G1426" i="5"/>
  <c r="G1427" i="5"/>
  <c r="G1428" i="5"/>
  <c r="G1429" i="5"/>
  <c r="I1429" i="5" s="1"/>
  <c r="G1430" i="5"/>
  <c r="G1431" i="5"/>
  <c r="G1432" i="5"/>
  <c r="G1433" i="5"/>
  <c r="G1434" i="5"/>
  <c r="G1435" i="5"/>
  <c r="G1436" i="5"/>
  <c r="G1437" i="5"/>
  <c r="G1438" i="5"/>
  <c r="G1439" i="5"/>
  <c r="G1440" i="5"/>
  <c r="G1441" i="5"/>
  <c r="G1442" i="5"/>
  <c r="G1443" i="5"/>
  <c r="G1444" i="5"/>
  <c r="G1445" i="5"/>
  <c r="G14" i="5"/>
  <c r="I20" i="5"/>
  <c r="I21" i="5"/>
  <c r="I23" i="5"/>
  <c r="I27" i="5"/>
  <c r="I29" i="5"/>
  <c r="I31" i="5"/>
  <c r="I35" i="5"/>
  <c r="I39" i="5"/>
  <c r="I40" i="5"/>
  <c r="I47" i="5"/>
  <c r="I48" i="5"/>
  <c r="I51" i="5"/>
  <c r="I52" i="5"/>
  <c r="I55" i="5"/>
  <c r="I59" i="5"/>
  <c r="I61" i="5"/>
  <c r="I63" i="5"/>
  <c r="I67" i="5"/>
  <c r="I71" i="5"/>
  <c r="I75" i="5"/>
  <c r="I76" i="5"/>
  <c r="I79" i="5"/>
  <c r="I80" i="5"/>
  <c r="I83" i="5"/>
  <c r="I84" i="5"/>
  <c r="I87" i="5"/>
  <c r="I95" i="5"/>
  <c r="I99" i="5"/>
  <c r="I109" i="5"/>
  <c r="I111" i="5"/>
  <c r="I115" i="5"/>
  <c r="I119" i="5"/>
  <c r="I123" i="5"/>
  <c r="I124" i="5"/>
  <c r="I127" i="5"/>
  <c r="I128" i="5"/>
  <c r="I131" i="5"/>
  <c r="I135" i="5"/>
  <c r="I136" i="5"/>
  <c r="I139" i="5"/>
  <c r="I140" i="5"/>
  <c r="I143" i="5"/>
  <c r="I144" i="5"/>
  <c r="I147" i="5"/>
  <c r="I148" i="5"/>
  <c r="I149" i="5"/>
  <c r="I151" i="5"/>
  <c r="I155" i="5"/>
  <c r="I157" i="5"/>
  <c r="I159" i="5"/>
  <c r="I163" i="5"/>
  <c r="I164" i="5"/>
  <c r="I167" i="5"/>
  <c r="I171" i="5"/>
  <c r="I173" i="5"/>
  <c r="I175" i="5"/>
  <c r="I179" i="5"/>
  <c r="I180" i="5"/>
  <c r="I183" i="5"/>
  <c r="I187" i="5"/>
  <c r="I191" i="5"/>
  <c r="I193" i="5"/>
  <c r="I195" i="5"/>
  <c r="I197" i="5"/>
  <c r="I200" i="5"/>
  <c r="I207" i="5"/>
  <c r="I208" i="5"/>
  <c r="I211" i="5"/>
  <c r="I212" i="5"/>
  <c r="I213" i="5"/>
  <c r="I215" i="5"/>
  <c r="I219" i="5"/>
  <c r="I221" i="5"/>
  <c r="I223" i="5"/>
  <c r="I227" i="5"/>
  <c r="I240" i="5"/>
  <c r="I248" i="5"/>
  <c r="I256" i="5"/>
  <c r="I272" i="5"/>
  <c r="I280" i="5"/>
  <c r="I288" i="5"/>
  <c r="I296" i="5"/>
  <c r="I304" i="5"/>
  <c r="I312" i="5"/>
  <c r="I315" i="5"/>
  <c r="I323" i="5"/>
  <c r="I324" i="5"/>
  <c r="I327" i="5"/>
  <c r="I331" i="5"/>
  <c r="I333" i="5"/>
  <c r="I335" i="5"/>
  <c r="I344" i="5"/>
  <c r="I345" i="5"/>
  <c r="I347" i="5"/>
  <c r="I351" i="5"/>
  <c r="I353" i="5"/>
  <c r="I355" i="5"/>
  <c r="I356" i="5"/>
  <c r="I357" i="5"/>
  <c r="I360" i="5"/>
  <c r="I364" i="5"/>
  <c r="I366" i="5"/>
  <c r="I368" i="5"/>
  <c r="I370" i="5"/>
  <c r="I372" i="5"/>
  <c r="I376" i="5"/>
  <c r="I380" i="5"/>
  <c r="I381" i="5"/>
  <c r="I382" i="5"/>
  <c r="I384" i="5"/>
  <c r="I385" i="5"/>
  <c r="I388" i="5"/>
  <c r="I390" i="5"/>
  <c r="I392" i="5"/>
  <c r="I394" i="5"/>
  <c r="I396" i="5"/>
  <c r="I397" i="5"/>
  <c r="I400" i="5"/>
  <c r="I404" i="5"/>
  <c r="I408" i="5"/>
  <c r="I409" i="5"/>
  <c r="I410" i="5"/>
  <c r="I412" i="5"/>
  <c r="I414" i="5"/>
  <c r="I416" i="5"/>
  <c r="I420" i="5"/>
  <c r="I424" i="5"/>
  <c r="I428" i="5"/>
  <c r="I430" i="5"/>
  <c r="I432" i="5"/>
  <c r="I436" i="5"/>
  <c r="I438" i="5"/>
  <c r="I440" i="5"/>
  <c r="I444" i="5"/>
  <c r="I448" i="5"/>
  <c r="I452" i="5"/>
  <c r="I453" i="5"/>
  <c r="I456" i="5"/>
  <c r="I457" i="5"/>
  <c r="I460" i="5"/>
  <c r="I461" i="5"/>
  <c r="I464" i="5"/>
  <c r="I468" i="5"/>
  <c r="I469" i="5"/>
  <c r="I472" i="5"/>
  <c r="I476" i="5"/>
  <c r="I480" i="5"/>
  <c r="I481" i="5"/>
  <c r="I484" i="5"/>
  <c r="I486" i="5"/>
  <c r="I488" i="5"/>
  <c r="I490" i="5"/>
  <c r="I492" i="5"/>
  <c r="I496" i="5"/>
  <c r="I497" i="5"/>
  <c r="I500" i="5"/>
  <c r="I504" i="5"/>
  <c r="I508" i="5"/>
  <c r="I510" i="5"/>
  <c r="I512" i="5"/>
  <c r="I514" i="5"/>
  <c r="I516" i="5"/>
  <c r="I524" i="5"/>
  <c r="I528" i="5"/>
  <c r="I530" i="5"/>
  <c r="I532" i="5"/>
  <c r="I533" i="5"/>
  <c r="I537" i="5"/>
  <c r="I540" i="5"/>
  <c r="I544" i="5"/>
  <c r="I545" i="5"/>
  <c r="I548" i="5"/>
  <c r="I554" i="5"/>
  <c r="I556" i="5"/>
  <c r="I560" i="5"/>
  <c r="I561" i="5"/>
  <c r="I564" i="5"/>
  <c r="I566" i="5"/>
  <c r="I572" i="5"/>
  <c r="I576" i="5"/>
  <c r="I578" i="5"/>
  <c r="I580" i="5"/>
  <c r="I585" i="5"/>
  <c r="I588" i="5"/>
  <c r="I589" i="5"/>
  <c r="I596" i="5"/>
  <c r="I601" i="5"/>
  <c r="I608" i="5"/>
  <c r="I609" i="5"/>
  <c r="I610" i="5"/>
  <c r="I612" i="5"/>
  <c r="I616" i="5"/>
  <c r="I620" i="5"/>
  <c r="I622" i="5"/>
  <c r="I628" i="5"/>
  <c r="I629" i="5"/>
  <c r="I632" i="5"/>
  <c r="I640" i="5"/>
  <c r="I644" i="5"/>
  <c r="I645" i="5"/>
  <c r="I648" i="5"/>
  <c r="I649" i="5"/>
  <c r="I652" i="5"/>
  <c r="I656" i="5"/>
  <c r="I657" i="5"/>
  <c r="I660" i="5"/>
  <c r="I668" i="5"/>
  <c r="I672" i="5"/>
  <c r="I674" i="5"/>
  <c r="I676" i="5"/>
  <c r="I680" i="5"/>
  <c r="I682" i="5"/>
  <c r="I684" i="5"/>
  <c r="I688" i="5"/>
  <c r="I692" i="5"/>
  <c r="I700" i="5"/>
  <c r="I704" i="5"/>
  <c r="I708" i="5"/>
  <c r="I712" i="5"/>
  <c r="I716" i="5"/>
  <c r="I720" i="5"/>
  <c r="I724" i="5"/>
  <c r="I728" i="5"/>
  <c r="I729" i="5"/>
  <c r="I732" i="5"/>
  <c r="I736" i="5"/>
  <c r="I740" i="5"/>
  <c r="I744" i="5"/>
  <c r="I748" i="5"/>
  <c r="I752" i="5"/>
  <c r="I756" i="5"/>
  <c r="I764" i="5"/>
  <c r="I768" i="5"/>
  <c r="I772" i="5"/>
  <c r="I773" i="5"/>
  <c r="I776" i="5"/>
  <c r="I780" i="5"/>
  <c r="I784" i="5"/>
  <c r="I788" i="5"/>
  <c r="I789" i="5"/>
  <c r="I792" i="5"/>
  <c r="I796" i="5"/>
  <c r="I800" i="5"/>
  <c r="I804" i="5"/>
  <c r="I805" i="5"/>
  <c r="I808" i="5"/>
  <c r="I812" i="5"/>
  <c r="I816" i="5"/>
  <c r="I820" i="5"/>
  <c r="I821" i="5"/>
  <c r="I824" i="5"/>
  <c r="I828" i="5"/>
  <c r="I836" i="5"/>
  <c r="I837" i="5"/>
  <c r="I844" i="5"/>
  <c r="I848" i="5"/>
  <c r="I852" i="5"/>
  <c r="I856" i="5"/>
  <c r="I860" i="5"/>
  <c r="I864" i="5"/>
  <c r="I868" i="5"/>
  <c r="I869" i="5"/>
  <c r="I872" i="5"/>
  <c r="I880" i="5"/>
  <c r="I884" i="5"/>
  <c r="I885" i="5"/>
  <c r="I888" i="5"/>
  <c r="I892" i="5"/>
  <c r="I896" i="5"/>
  <c r="I900" i="5"/>
  <c r="I901" i="5"/>
  <c r="I904" i="5"/>
  <c r="I908" i="5"/>
  <c r="I912" i="5"/>
  <c r="I914" i="5"/>
  <c r="I916" i="5"/>
  <c r="I920" i="5"/>
  <c r="I921" i="5"/>
  <c r="I922" i="5"/>
  <c r="I924" i="5"/>
  <c r="I928" i="5"/>
  <c r="I930" i="5"/>
  <c r="I932" i="5"/>
  <c r="I940" i="5"/>
  <c r="I945" i="5"/>
  <c r="I949" i="5"/>
  <c r="I953" i="5"/>
  <c r="I957" i="5"/>
  <c r="I961" i="5"/>
  <c r="I965" i="5"/>
  <c r="I969" i="5"/>
  <c r="I1185" i="5"/>
  <c r="I1205" i="5"/>
  <c r="I1213" i="5"/>
  <c r="I1229" i="5"/>
  <c r="I1233" i="5"/>
  <c r="I1237" i="5"/>
  <c r="I1245" i="5"/>
  <c r="I1253" i="5"/>
  <c r="I1257" i="5"/>
  <c r="I1261" i="5"/>
  <c r="I1265" i="5"/>
  <c r="I1271" i="5"/>
  <c r="I1273" i="5"/>
  <c r="I1279" i="5"/>
  <c r="I1283" i="5"/>
  <c r="I1287" i="5"/>
  <c r="I1288" i="5"/>
  <c r="I1291" i="5"/>
  <c r="I1292" i="5"/>
  <c r="I1295" i="5"/>
  <c r="I1296" i="5"/>
  <c r="I1299" i="5"/>
  <c r="I1301" i="5"/>
  <c r="I1303" i="5"/>
  <c r="I1305" i="5"/>
  <c r="I1307" i="5"/>
  <c r="I1311" i="5"/>
  <c r="I1315" i="5"/>
  <c r="I1319" i="5"/>
  <c r="I1320" i="5"/>
  <c r="I1323" i="5"/>
  <c r="I1327" i="5"/>
  <c r="I1328" i="5"/>
  <c r="I1331" i="5"/>
  <c r="I1335" i="5"/>
  <c r="I1337" i="5"/>
  <c r="I1339" i="5"/>
  <c r="I1343" i="5"/>
  <c r="I1347" i="5"/>
  <c r="I1351" i="5"/>
  <c r="I1355" i="5"/>
  <c r="I1363" i="5"/>
  <c r="I1365" i="5"/>
  <c r="I1367" i="5"/>
  <c r="I1369" i="5"/>
  <c r="I1371" i="5"/>
  <c r="I1372" i="5"/>
  <c r="I1375" i="5"/>
  <c r="I1376" i="5"/>
  <c r="I1379" i="5"/>
  <c r="I1383" i="5"/>
  <c r="I1384" i="5"/>
  <c r="I1387" i="5"/>
  <c r="I1388" i="5"/>
  <c r="I1391" i="5"/>
  <c r="I1392" i="5"/>
  <c r="I1395" i="5"/>
  <c r="I1399" i="5"/>
  <c r="I1401" i="5"/>
  <c r="I1403" i="5"/>
  <c r="I1407" i="5"/>
  <c r="I1411" i="5"/>
  <c r="I1415" i="5"/>
  <c r="I1419" i="5"/>
  <c r="I1424" i="5"/>
  <c r="I1425" i="5"/>
  <c r="I1427" i="5"/>
  <c r="I1431" i="5"/>
  <c r="I1433" i="5"/>
  <c r="I1435" i="5"/>
  <c r="I1439" i="5"/>
  <c r="I1440" i="5"/>
  <c r="I1443" i="5"/>
  <c r="I1444" i="5"/>
  <c r="I873" i="5" l="1"/>
  <c r="I605" i="5"/>
  <c r="I586" i="5"/>
  <c r="I505" i="5"/>
  <c r="I260" i="5"/>
  <c r="I245" i="5"/>
  <c r="I204" i="5"/>
  <c r="I53" i="5"/>
  <c r="I534" i="5"/>
  <c r="I733" i="5"/>
  <c r="I450" i="5"/>
  <c r="I401" i="5"/>
  <c r="I377" i="5"/>
  <c r="I89" i="5"/>
  <c r="I754" i="5"/>
  <c r="I192" i="5"/>
  <c r="I818" i="5"/>
  <c r="I761" i="5"/>
  <c r="I905" i="5"/>
  <c r="I898" i="5"/>
  <c r="I354" i="5"/>
  <c r="I184" i="5"/>
  <c r="I168" i="5"/>
  <c r="I153" i="5"/>
  <c r="I72" i="5"/>
  <c r="I1436" i="5"/>
  <c r="I1416" i="5"/>
  <c r="I825" i="5"/>
  <c r="I793" i="5"/>
  <c r="I501" i="5"/>
  <c r="I320" i="5"/>
  <c r="I145" i="5"/>
  <c r="I137" i="5"/>
  <c r="I730" i="5"/>
  <c r="I709" i="5"/>
  <c r="I653" i="5"/>
  <c r="I217" i="5"/>
  <c r="I188" i="5"/>
  <c r="I790" i="5"/>
  <c r="I617" i="5"/>
  <c r="I557" i="5"/>
  <c r="I549" i="5"/>
  <c r="I362" i="5"/>
  <c r="I301" i="5"/>
  <c r="I277" i="5"/>
  <c r="I68" i="5"/>
  <c r="I1353" i="5"/>
  <c r="I1312" i="5"/>
  <c r="I937" i="5"/>
  <c r="I850" i="5"/>
  <c r="I774" i="5"/>
  <c r="I757" i="5"/>
  <c r="I631" i="5"/>
  <c r="I434" i="5"/>
  <c r="I337" i="5"/>
  <c r="I237" i="5"/>
  <c r="I129" i="5"/>
  <c r="I802" i="5"/>
  <c r="I726" i="5"/>
  <c r="I713" i="5"/>
  <c r="I462" i="5"/>
  <c r="I316" i="5"/>
  <c r="I309" i="5"/>
  <c r="I257" i="5"/>
  <c r="I116" i="5"/>
  <c r="I100" i="5"/>
  <c r="I45" i="5"/>
  <c r="I25" i="5"/>
  <c r="I1289" i="5"/>
  <c r="I1193" i="5"/>
  <c r="I741" i="5"/>
  <c r="I581" i="5"/>
  <c r="I133" i="5"/>
  <c r="I120" i="5"/>
  <c r="I44" i="5"/>
  <c r="I1420" i="5"/>
  <c r="I1356" i="5"/>
  <c r="I933" i="5"/>
  <c r="I866" i="5"/>
  <c r="I777" i="5"/>
  <c r="I669" i="5"/>
  <c r="I482" i="5"/>
  <c r="I445" i="5"/>
  <c r="I373" i="5"/>
  <c r="I81" i="5"/>
  <c r="I104" i="5"/>
  <c r="I1361" i="5"/>
  <c r="I1276" i="5"/>
  <c r="I1209" i="5"/>
  <c r="I1197" i="5"/>
  <c r="I1180" i="5"/>
  <c r="I926" i="5"/>
  <c r="I809" i="5"/>
  <c r="I737" i="5"/>
  <c r="I701" i="5"/>
  <c r="I693" i="5"/>
  <c r="I509" i="5"/>
  <c r="I426" i="5"/>
  <c r="I422" i="5"/>
  <c r="I406" i="5"/>
  <c r="I329" i="5"/>
  <c r="I276" i="5"/>
  <c r="I244" i="5"/>
  <c r="I224" i="5"/>
  <c r="I160" i="5"/>
  <c r="I112" i="5"/>
  <c r="I85" i="5"/>
  <c r="I64" i="5"/>
  <c r="I1329" i="5"/>
  <c r="I1324" i="5"/>
  <c r="I770" i="5"/>
  <c r="I722" i="5"/>
  <c r="I718" i="5"/>
  <c r="I606" i="5"/>
  <c r="I590" i="5"/>
  <c r="I553" i="5"/>
  <c r="I529" i="5"/>
  <c r="I478" i="5"/>
  <c r="I458" i="5"/>
  <c r="I417" i="5"/>
  <c r="I402" i="5"/>
  <c r="I341" i="5"/>
  <c r="I308" i="5"/>
  <c r="I261" i="5"/>
  <c r="I49" i="5"/>
  <c r="I1417" i="5"/>
  <c r="I1380" i="5"/>
  <c r="I721" i="5"/>
  <c r="I717" i="5"/>
  <c r="I614" i="5"/>
  <c r="I502" i="5"/>
  <c r="I425" i="5"/>
  <c r="I421" i="5"/>
  <c r="I405" i="5"/>
  <c r="I96" i="5"/>
  <c r="I32" i="5"/>
  <c r="I1397" i="5"/>
  <c r="I1357" i="5"/>
  <c r="I1333" i="5"/>
  <c r="I1293" i="5"/>
  <c r="I1316" i="5"/>
  <c r="I1280" i="5"/>
  <c r="I1225" i="5"/>
  <c r="I1217" i="5"/>
  <c r="I1201" i="5"/>
  <c r="I1189" i="5"/>
  <c r="I889" i="5"/>
  <c r="I841" i="5"/>
  <c r="I834" i="5"/>
  <c r="I826" i="5"/>
  <c r="I806" i="5"/>
  <c r="I758" i="5"/>
  <c r="I725" i="5"/>
  <c r="I705" i="5"/>
  <c r="I697" i="5"/>
  <c r="I594" i="5"/>
  <c r="I582" i="5"/>
  <c r="I550" i="5"/>
  <c r="I538" i="5"/>
  <c r="I429" i="5"/>
  <c r="I365" i="5"/>
  <c r="I361" i="5"/>
  <c r="I292" i="5"/>
  <c r="I176" i="5"/>
  <c r="I57" i="5"/>
  <c r="I17" i="5"/>
  <c r="I1352" i="5"/>
  <c r="I1297" i="5"/>
  <c r="I918" i="5"/>
  <c r="I882" i="5"/>
  <c r="I786" i="5"/>
  <c r="I745" i="5"/>
  <c r="I689" i="5"/>
  <c r="I625" i="5"/>
  <c r="I577" i="5"/>
  <c r="I506" i="5"/>
  <c r="I449" i="5"/>
  <c r="I386" i="5"/>
  <c r="I349" i="5"/>
  <c r="I285" i="5"/>
  <c r="I253" i="5"/>
  <c r="I201" i="5"/>
  <c r="I189" i="5"/>
  <c r="I141" i="5"/>
  <c r="I125" i="5"/>
  <c r="I77" i="5"/>
  <c r="I41" i="5"/>
  <c r="I36" i="5"/>
  <c r="I1168" i="5"/>
  <c r="I1160" i="5"/>
  <c r="I1152" i="5"/>
  <c r="I1144" i="5"/>
  <c r="I1136" i="5"/>
  <c r="I1120" i="5"/>
  <c r="I1112" i="5"/>
  <c r="I1104" i="5"/>
  <c r="I1096" i="5"/>
  <c r="I1088" i="5"/>
  <c r="I1080" i="5"/>
  <c r="I1072" i="5"/>
  <c r="I1432" i="5"/>
  <c r="I1428" i="5"/>
  <c r="I1413" i="5"/>
  <c r="I1409" i="5"/>
  <c r="I1405" i="5"/>
  <c r="I1368" i="5"/>
  <c r="I1364" i="5"/>
  <c r="I1345" i="5"/>
  <c r="I1341" i="5"/>
  <c r="I1304" i="5"/>
  <c r="I1300" i="5"/>
  <c r="I1281" i="5"/>
  <c r="I1277" i="5"/>
  <c r="I1181" i="5"/>
  <c r="I1173" i="5"/>
  <c r="I1165" i="5"/>
  <c r="I1157" i="5"/>
  <c r="I1149" i="5"/>
  <c r="I1141" i="5"/>
  <c r="I1133" i="5"/>
  <c r="I1125" i="5"/>
  <c r="I1117" i="5"/>
  <c r="I1109" i="5"/>
  <c r="I1412" i="5"/>
  <c r="I1408" i="5"/>
  <c r="I1404" i="5"/>
  <c r="I1389" i="5"/>
  <c r="I1385" i="5"/>
  <c r="I1348" i="5"/>
  <c r="I1344" i="5"/>
  <c r="I1340" i="5"/>
  <c r="I1325" i="5"/>
  <c r="I1321" i="5"/>
  <c r="I1172" i="5"/>
  <c r="I1164" i="5"/>
  <c r="I1156" i="5"/>
  <c r="I1140" i="5"/>
  <c r="I1132" i="5"/>
  <c r="I1124" i="5"/>
  <c r="I1116" i="5"/>
  <c r="I1108" i="5"/>
  <c r="I1100" i="5"/>
  <c r="I1092" i="5"/>
  <c r="I1084" i="5"/>
  <c r="I1076" i="5"/>
  <c r="I1445" i="5"/>
  <c r="I1441" i="5"/>
  <c r="I1437" i="5"/>
  <c r="I1400" i="5"/>
  <c r="I1396" i="5"/>
  <c r="I1381" i="5"/>
  <c r="I1377" i="5"/>
  <c r="I1373" i="5"/>
  <c r="I1336" i="5"/>
  <c r="I1332" i="5"/>
  <c r="I1317" i="5"/>
  <c r="I1313" i="5"/>
  <c r="I1309" i="5"/>
  <c r="I1268" i="5"/>
  <c r="I1260" i="5"/>
  <c r="I1252" i="5"/>
  <c r="I1248" i="5"/>
  <c r="I1244" i="5"/>
  <c r="I1240" i="5"/>
  <c r="I1236" i="5"/>
  <c r="I1232" i="5"/>
  <c r="I1228" i="5"/>
  <c r="I1224" i="5"/>
  <c r="I1220" i="5"/>
  <c r="I1216" i="5"/>
  <c r="I1212" i="5"/>
  <c r="I1208" i="5"/>
  <c r="I1204" i="5"/>
  <c r="I1196" i="5"/>
  <c r="I1192" i="5"/>
  <c r="I1184" i="5"/>
  <c r="I1177" i="5"/>
  <c r="I1169" i="5"/>
  <c r="I1161" i="5"/>
  <c r="I1145" i="5"/>
  <c r="I1137" i="5"/>
  <c r="I1129" i="5"/>
  <c r="I1121" i="5"/>
  <c r="I1113" i="5"/>
  <c r="I902" i="5"/>
  <c r="I893" i="5"/>
  <c r="I870" i="5"/>
  <c r="I861" i="5"/>
  <c r="I838" i="5"/>
  <c r="I829" i="5"/>
  <c r="I765" i="5"/>
  <c r="I742" i="5"/>
  <c r="I738" i="5"/>
  <c r="I734" i="5"/>
  <c r="I714" i="5"/>
  <c r="I942" i="5"/>
  <c r="I938" i="5"/>
  <c r="I897" i="5"/>
  <c r="I874" i="5"/>
  <c r="I865" i="5"/>
  <c r="I842" i="5"/>
  <c r="I833" i="5"/>
  <c r="I810" i="5"/>
  <c r="I801" i="5"/>
  <c r="I778" i="5"/>
  <c r="I746" i="5"/>
  <c r="I710" i="5"/>
  <c r="I706" i="5"/>
  <c r="I698" i="5"/>
  <c r="I694" i="5"/>
  <c r="I690" i="5"/>
  <c r="I1105" i="5"/>
  <c r="I1101" i="5"/>
  <c r="I1097" i="5"/>
  <c r="I1093" i="5"/>
  <c r="I1089" i="5"/>
  <c r="I1085" i="5"/>
  <c r="I1081" i="5"/>
  <c r="I1077" i="5"/>
  <c r="I1069" i="5"/>
  <c r="I1065" i="5"/>
  <c r="I1061" i="5"/>
  <c r="I1057" i="5"/>
  <c r="I1053" i="5"/>
  <c r="I1049" i="5"/>
  <c r="I1045" i="5"/>
  <c r="I1041" i="5"/>
  <c r="I1037" i="5"/>
  <c r="I1033" i="5"/>
  <c r="I1029" i="5"/>
  <c r="I1025" i="5"/>
  <c r="I1021" i="5"/>
  <c r="I1017" i="5"/>
  <c r="I1013" i="5"/>
  <c r="I1009" i="5"/>
  <c r="I1005" i="5"/>
  <c r="I1001" i="5"/>
  <c r="I997" i="5"/>
  <c r="I993" i="5"/>
  <c r="I989" i="5"/>
  <c r="I985" i="5"/>
  <c r="I981" i="5"/>
  <c r="I977" i="5"/>
  <c r="I973" i="5"/>
  <c r="I934" i="5"/>
  <c r="I910" i="5"/>
  <c r="I878" i="5"/>
  <c r="I846" i="5"/>
  <c r="I814" i="5"/>
  <c r="I782" i="5"/>
  <c r="I750" i="5"/>
  <c r="I941" i="5"/>
  <c r="I909" i="5"/>
  <c r="I886" i="5"/>
  <c r="I877" i="5"/>
  <c r="I854" i="5"/>
  <c r="I845" i="5"/>
  <c r="I822" i="5"/>
  <c r="I813" i="5"/>
  <c r="I781" i="5"/>
  <c r="I749" i="5"/>
  <c r="I1068" i="5"/>
  <c r="I1064" i="5"/>
  <c r="I1060" i="5"/>
  <c r="I1056" i="5"/>
  <c r="I1052" i="5"/>
  <c r="I1048" i="5"/>
  <c r="I1044" i="5"/>
  <c r="I1040" i="5"/>
  <c r="I1036" i="5"/>
  <c r="I1032" i="5"/>
  <c r="I1028" i="5"/>
  <c r="I1024" i="5"/>
  <c r="I1020" i="5"/>
  <c r="I1016" i="5"/>
  <c r="I1012" i="5"/>
  <c r="I1008" i="5"/>
  <c r="I1004" i="5"/>
  <c r="I1000" i="5"/>
  <c r="I988" i="5"/>
  <c r="I984" i="5"/>
  <c r="I980" i="5"/>
  <c r="I976" i="5"/>
  <c r="I964" i="5"/>
  <c r="I960" i="5"/>
  <c r="I956" i="5"/>
  <c r="I952" i="5"/>
  <c r="I948" i="5"/>
  <c r="I944" i="5"/>
  <c r="I925" i="5"/>
  <c r="I917" i="5"/>
  <c r="I913" i="5"/>
  <c r="I890" i="5"/>
  <c r="I881" i="5"/>
  <c r="I849" i="5"/>
  <c r="I817" i="5"/>
  <c r="I794" i="5"/>
  <c r="I785" i="5"/>
  <c r="I762" i="5"/>
  <c r="I753" i="5"/>
  <c r="I894" i="5"/>
  <c r="I830" i="5"/>
  <c r="I798" i="5"/>
  <c r="I766" i="5"/>
  <c r="I678" i="5"/>
  <c r="I655" i="5"/>
  <c r="I626" i="5"/>
  <c r="I618" i="5"/>
  <c r="I593" i="5"/>
  <c r="I574" i="5"/>
  <c r="I541" i="5"/>
  <c r="I526" i="5"/>
  <c r="I522" i="5"/>
  <c r="I518" i="5"/>
  <c r="I489" i="5"/>
  <c r="I485" i="5"/>
  <c r="I474" i="5"/>
  <c r="I470" i="5"/>
  <c r="I441" i="5"/>
  <c r="I437" i="5"/>
  <c r="I418" i="5"/>
  <c r="I393" i="5"/>
  <c r="I389" i="5"/>
  <c r="I374" i="5"/>
  <c r="I284" i="5"/>
  <c r="I252" i="5"/>
  <c r="I229" i="5"/>
  <c r="I172" i="5"/>
  <c r="I156" i="5"/>
  <c r="I152" i="5"/>
  <c r="I121" i="5"/>
  <c r="I117" i="5"/>
  <c r="I101" i="5"/>
  <c r="I60" i="5"/>
  <c r="I56" i="5"/>
  <c r="I37" i="5"/>
  <c r="I685" i="5"/>
  <c r="I666" i="5"/>
  <c r="I651" i="5"/>
  <c r="I637" i="5"/>
  <c r="I633" i="5"/>
  <c r="I297" i="5"/>
  <c r="I265" i="5"/>
  <c r="I233" i="5"/>
  <c r="I225" i="5"/>
  <c r="I105" i="5"/>
  <c r="I97" i="5"/>
  <c r="I33" i="5"/>
  <c r="I677" i="5"/>
  <c r="I662" i="5"/>
  <c r="I658" i="5"/>
  <c r="I654" i="5"/>
  <c r="I647" i="5"/>
  <c r="I650" i="5"/>
  <c r="I573" i="5"/>
  <c r="I558" i="5"/>
  <c r="I525" i="5"/>
  <c r="I521" i="5"/>
  <c r="I517" i="5"/>
  <c r="I473" i="5"/>
  <c r="I325" i="5"/>
  <c r="I321" i="5"/>
  <c r="I305" i="5"/>
  <c r="I273" i="5"/>
  <c r="I264" i="5"/>
  <c r="I241" i="5"/>
  <c r="I232" i="5"/>
  <c r="I228" i="5"/>
  <c r="I209" i="5"/>
  <c r="I661" i="5"/>
  <c r="I613" i="5"/>
  <c r="I598" i="5"/>
  <c r="I565" i="5"/>
  <c r="I546" i="5"/>
  <c r="I513" i="5"/>
  <c r="I498" i="5"/>
  <c r="I465" i="5"/>
  <c r="I446" i="5"/>
  <c r="I413" i="5"/>
  <c r="I369" i="5"/>
  <c r="I358" i="5"/>
  <c r="I352" i="5"/>
  <c r="I348" i="5"/>
  <c r="I336" i="5"/>
  <c r="I332" i="5"/>
  <c r="I317" i="5"/>
  <c r="I313" i="5"/>
  <c r="I300" i="5"/>
  <c r="I268" i="5"/>
  <c r="I236" i="5"/>
  <c r="I220" i="5"/>
  <c r="I216" i="5"/>
  <c r="I181" i="5"/>
  <c r="I165" i="5"/>
  <c r="I108" i="5"/>
  <c r="I92" i="5"/>
  <c r="I88" i="5"/>
  <c r="I73" i="5"/>
  <c r="I69" i="5"/>
  <c r="I28" i="5"/>
  <c r="I24" i="5"/>
  <c r="I16" i="5"/>
  <c r="I642" i="5"/>
  <c r="I281" i="5"/>
  <c r="I249" i="5"/>
  <c r="I177" i="5"/>
  <c r="I169" i="5"/>
  <c r="I161" i="5"/>
  <c r="I65" i="5"/>
  <c r="I638" i="5"/>
  <c r="I634" i="5"/>
  <c r="I686" i="5"/>
  <c r="I623" i="5"/>
  <c r="I615" i="5"/>
  <c r="I289" i="5"/>
  <c r="I1390" i="5"/>
  <c r="I1418" i="5"/>
  <c r="I1386" i="5"/>
  <c r="I1354" i="5"/>
  <c r="I1322" i="5"/>
  <c r="I1290" i="5"/>
  <c r="I1350" i="5"/>
  <c r="I1318" i="5"/>
  <c r="I1286" i="5"/>
  <c r="I1358" i="5"/>
  <c r="I1326" i="5"/>
  <c r="I1442" i="5"/>
  <c r="I1410" i="5"/>
  <c r="I1378" i="5"/>
  <c r="I1346" i="5"/>
  <c r="I1314" i="5"/>
  <c r="I1294" i="5"/>
  <c r="I1438" i="5"/>
  <c r="I1406" i="5"/>
  <c r="I1374" i="5"/>
  <c r="I1342" i="5"/>
  <c r="I1310" i="5"/>
  <c r="I1274" i="5"/>
  <c r="I1259" i="5"/>
  <c r="I1255" i="5"/>
  <c r="I1251" i="5"/>
  <c r="I1247" i="5"/>
  <c r="I1243" i="5"/>
  <c r="I1239" i="5"/>
  <c r="I1231" i="5"/>
  <c r="I1227" i="5"/>
  <c r="I1223" i="5"/>
  <c r="I1219" i="5"/>
  <c r="I1215" i="5"/>
  <c r="I1211" i="5"/>
  <c r="I1207" i="5"/>
  <c r="I1203" i="5"/>
  <c r="I1195" i="5"/>
  <c r="I1191" i="5"/>
  <c r="I1187" i="5"/>
  <c r="I1183" i="5"/>
  <c r="I1179" i="5"/>
  <c r="I1175" i="5"/>
  <c r="I1171" i="5"/>
  <c r="I1167" i="5"/>
  <c r="I1163" i="5"/>
  <c r="I1159" i="5"/>
  <c r="I1155" i="5"/>
  <c r="I1151" i="5"/>
  <c r="I1147" i="5"/>
  <c r="I1139" i="5"/>
  <c r="I1131" i="5"/>
  <c r="I1123" i="5"/>
  <c r="I1115" i="5"/>
  <c r="I1099" i="5"/>
  <c r="I1091" i="5"/>
  <c r="I1083" i="5"/>
  <c r="I1075" i="5"/>
  <c r="I1067" i="5"/>
  <c r="I1059" i="5"/>
  <c r="I1051" i="5"/>
  <c r="I1043" i="5"/>
  <c r="I1035" i="5"/>
  <c r="I1027" i="5"/>
  <c r="I1019" i="5"/>
  <c r="I1011" i="5"/>
  <c r="I1003" i="5"/>
  <c r="I1422" i="5"/>
  <c r="I1434" i="5"/>
  <c r="I1370" i="5"/>
  <c r="I1338" i="5"/>
  <c r="I1263" i="5"/>
  <c r="I1430" i="5"/>
  <c r="I1366" i="5"/>
  <c r="I1302" i="5"/>
  <c r="I1270" i="5"/>
  <c r="I1306" i="5"/>
  <c r="I1267" i="5"/>
  <c r="I1398" i="5"/>
  <c r="I1334" i="5"/>
  <c r="I1426" i="5"/>
  <c r="I1394" i="5"/>
  <c r="I1362" i="5"/>
  <c r="I1330" i="5"/>
  <c r="I1298" i="5"/>
  <c r="I1262" i="5"/>
  <c r="I1254" i="5"/>
  <c r="I1246" i="5"/>
  <c r="I1238" i="5"/>
  <c r="I1230" i="5"/>
  <c r="I1222" i="5"/>
  <c r="I1214" i="5"/>
  <c r="I1206" i="5"/>
  <c r="I1198" i="5"/>
  <c r="I1190" i="5"/>
  <c r="I1182" i="5"/>
  <c r="I1174" i="5"/>
  <c r="I1158" i="5"/>
  <c r="I1150" i="5"/>
  <c r="I1142" i="5"/>
  <c r="I1134" i="5"/>
  <c r="I1126" i="5"/>
  <c r="I1118" i="5"/>
  <c r="I1110" i="5"/>
  <c r="I1102" i="5"/>
  <c r="I1094" i="5"/>
  <c r="I1086" i="5"/>
  <c r="I1078" i="5"/>
  <c r="I1070" i="5"/>
  <c r="I1062" i="5"/>
  <c r="I1054" i="5"/>
  <c r="I1046" i="5"/>
  <c r="I1038" i="5"/>
  <c r="I1030" i="5"/>
  <c r="I1022" i="5"/>
  <c r="I1014" i="5"/>
  <c r="I998" i="5"/>
  <c r="I990" i="5"/>
  <c r="I982" i="5"/>
  <c r="I974" i="5"/>
  <c r="I966" i="5"/>
  <c r="I958" i="5"/>
  <c r="I950" i="5"/>
  <c r="I939" i="5"/>
  <c r="I671" i="5"/>
  <c r="I667" i="5"/>
  <c r="I571" i="5"/>
  <c r="I987" i="5"/>
  <c r="I971" i="5"/>
  <c r="I963" i="5"/>
  <c r="I947" i="5"/>
  <c r="I935" i="5"/>
  <c r="I931" i="5"/>
  <c r="I663" i="5"/>
  <c r="I552" i="5"/>
  <c r="I927" i="5"/>
  <c r="I923" i="5"/>
  <c r="I600" i="5"/>
  <c r="I555" i="5"/>
  <c r="I919" i="5"/>
  <c r="I915" i="5"/>
  <c r="I1266" i="5"/>
  <c r="I1258" i="5"/>
  <c r="I1250" i="5"/>
  <c r="I1242" i="5"/>
  <c r="I1226" i="5"/>
  <c r="I1210" i="5"/>
  <c r="I1202" i="5"/>
  <c r="I1194" i="5"/>
  <c r="I1186" i="5"/>
  <c r="I1178" i="5"/>
  <c r="I1170" i="5"/>
  <c r="I1162" i="5"/>
  <c r="I1146" i="5"/>
  <c r="I1130" i="5"/>
  <c r="I1114" i="5"/>
  <c r="I1106" i="5"/>
  <c r="I1098" i="5"/>
  <c r="I1090" i="5"/>
  <c r="I1082" i="5"/>
  <c r="I1074" i="5"/>
  <c r="I1066" i="5"/>
  <c r="I1058" i="5"/>
  <c r="I1050" i="5"/>
  <c r="I1042" i="5"/>
  <c r="I1034" i="5"/>
  <c r="I1026" i="5"/>
  <c r="I1018" i="5"/>
  <c r="I1010" i="5"/>
  <c r="I1002" i="5"/>
  <c r="I994" i="5"/>
  <c r="I978" i="5"/>
  <c r="I970" i="5"/>
  <c r="I962" i="5"/>
  <c r="I946" i="5"/>
  <c r="I907" i="5"/>
  <c r="I899" i="5"/>
  <c r="I895" i="5"/>
  <c r="I891" i="5"/>
  <c r="I887" i="5"/>
  <c r="I883" i="5"/>
  <c r="I879" i="5"/>
  <c r="I875" i="5"/>
  <c r="I871" i="5"/>
  <c r="I867" i="5"/>
  <c r="I863" i="5"/>
  <c r="I859" i="5"/>
  <c r="I855" i="5"/>
  <c r="I843" i="5"/>
  <c r="I839" i="5"/>
  <c r="I835" i="5"/>
  <c r="I831" i="5"/>
  <c r="I827" i="5"/>
  <c r="I823" i="5"/>
  <c r="I815" i="5"/>
  <c r="I811" i="5"/>
  <c r="I807" i="5"/>
  <c r="I803" i="5"/>
  <c r="I799" i="5"/>
  <c r="I795" i="5"/>
  <c r="I791" i="5"/>
  <c r="I787" i="5"/>
  <c r="I783" i="5"/>
  <c r="I779" i="5"/>
  <c r="I775" i="5"/>
  <c r="I771" i="5"/>
  <c r="I767" i="5"/>
  <c r="I763" i="5"/>
  <c r="I755" i="5"/>
  <c r="I751" i="5"/>
  <c r="I747" i="5"/>
  <c r="I743" i="5"/>
  <c r="I739" i="5"/>
  <c r="I735" i="5"/>
  <c r="I731" i="5"/>
  <c r="I727" i="5"/>
  <c r="I723" i="5"/>
  <c r="I719" i="5"/>
  <c r="I715" i="5"/>
  <c r="I636" i="5"/>
  <c r="I621" i="5"/>
  <c r="I536" i="5"/>
  <c r="I1135" i="5"/>
  <c r="I1127" i="5"/>
  <c r="I1119" i="5"/>
  <c r="I1111" i="5"/>
  <c r="I1103" i="5"/>
  <c r="I1095" i="5"/>
  <c r="I1087" i="5"/>
  <c r="I1079" i="5"/>
  <c r="I1071" i="5"/>
  <c r="I1063" i="5"/>
  <c r="I1055" i="5"/>
  <c r="I1047" i="5"/>
  <c r="I1039" i="5"/>
  <c r="I1031" i="5"/>
  <c r="I1023" i="5"/>
  <c r="I1015" i="5"/>
  <c r="I1007" i="5"/>
  <c r="I999" i="5"/>
  <c r="I991" i="5"/>
  <c r="I975" i="5"/>
  <c r="I967" i="5"/>
  <c r="I943" i="5"/>
  <c r="I711" i="5"/>
  <c r="I707" i="5"/>
  <c r="I703" i="5"/>
  <c r="I695" i="5"/>
  <c r="I691" i="5"/>
  <c r="I639" i="5"/>
  <c r="I587" i="5"/>
  <c r="I539" i="5"/>
  <c r="I687" i="5"/>
  <c r="I683" i="5"/>
  <c r="I624" i="5"/>
  <c r="I520" i="5"/>
  <c r="I675" i="5"/>
  <c r="I627" i="5"/>
  <c r="I568" i="5"/>
  <c r="I523" i="5"/>
  <c r="I659" i="5"/>
  <c r="I643" i="5"/>
  <c r="I595" i="5"/>
  <c r="I563" i="5"/>
  <c r="I531" i="5"/>
  <c r="I499" i="5"/>
  <c r="I467" i="5"/>
  <c r="I435" i="5"/>
  <c r="I403" i="5"/>
  <c r="I371" i="5"/>
  <c r="I343" i="5"/>
  <c r="I303" i="5"/>
  <c r="I271" i="5"/>
  <c r="I239" i="5"/>
  <c r="I619" i="5"/>
  <c r="I591" i="5"/>
  <c r="I559" i="5"/>
  <c r="I495" i="5"/>
  <c r="I463" i="5"/>
  <c r="I431" i="5"/>
  <c r="I399" i="5"/>
  <c r="I367" i="5"/>
  <c r="I350" i="5"/>
  <c r="I346" i="5"/>
  <c r="I307" i="5"/>
  <c r="I275" i="5"/>
  <c r="I243" i="5"/>
  <c r="I203" i="5"/>
  <c r="I491" i="5"/>
  <c r="I459" i="5"/>
  <c r="I427" i="5"/>
  <c r="I395" i="5"/>
  <c r="I363" i="5"/>
  <c r="I311" i="5"/>
  <c r="I279" i="5"/>
  <c r="I247" i="5"/>
  <c r="I210" i="5"/>
  <c r="I635" i="5"/>
  <c r="I583" i="5"/>
  <c r="I519" i="5"/>
  <c r="I487" i="5"/>
  <c r="I423" i="5"/>
  <c r="I391" i="5"/>
  <c r="I359" i="5"/>
  <c r="I318" i="5"/>
  <c r="I314" i="5"/>
  <c r="I283" i="5"/>
  <c r="I251" i="5"/>
  <c r="I611" i="5"/>
  <c r="I579" i="5"/>
  <c r="I547" i="5"/>
  <c r="I515" i="5"/>
  <c r="I451" i="5"/>
  <c r="I419" i="5"/>
  <c r="I287" i="5"/>
  <c r="I255" i="5"/>
  <c r="I174" i="5"/>
  <c r="I607" i="5"/>
  <c r="I575" i="5"/>
  <c r="I543" i="5"/>
  <c r="I479" i="5"/>
  <c r="I447" i="5"/>
  <c r="I383" i="5"/>
  <c r="I291" i="5"/>
  <c r="I259" i="5"/>
  <c r="I507" i="5"/>
  <c r="I475" i="5"/>
  <c r="I443" i="5"/>
  <c r="I379" i="5"/>
  <c r="I295" i="5"/>
  <c r="I263" i="5"/>
  <c r="I231" i="5"/>
  <c r="I599" i="5"/>
  <c r="I567" i="5"/>
  <c r="I535" i="5"/>
  <c r="I503" i="5"/>
  <c r="I471" i="5"/>
  <c r="I439" i="5"/>
  <c r="I407" i="5"/>
  <c r="I375" i="5"/>
  <c r="I339" i="5"/>
  <c r="I299" i="5"/>
  <c r="I267" i="5"/>
  <c r="I235" i="5"/>
  <c r="I226" i="5"/>
  <c r="I222" i="5"/>
  <c r="I158" i="5"/>
  <c r="I94" i="5"/>
  <c r="I218" i="5"/>
  <c r="I214" i="5"/>
  <c r="I150" i="5"/>
  <c r="I86" i="5"/>
  <c r="I142" i="5"/>
  <c r="I82" i="5"/>
  <c r="I78" i="5"/>
  <c r="I342" i="5"/>
  <c r="I338" i="5"/>
  <c r="I198" i="5"/>
  <c r="I134" i="5"/>
  <c r="I334" i="5"/>
  <c r="I330" i="5"/>
  <c r="I194" i="5"/>
  <c r="I130" i="5"/>
  <c r="I126" i="5"/>
  <c r="I326" i="5"/>
  <c r="I322" i="5"/>
  <c r="I186" i="5"/>
  <c r="I182" i="5"/>
  <c r="I122" i="5"/>
  <c r="I118" i="5"/>
  <c r="I114" i="5"/>
  <c r="I110" i="5"/>
  <c r="I310" i="5"/>
  <c r="I306" i="5"/>
  <c r="I302" i="5"/>
  <c r="I298" i="5"/>
  <c r="I294" i="5"/>
  <c r="I290" i="5"/>
  <c r="I286" i="5"/>
  <c r="I282" i="5"/>
  <c r="I278" i="5"/>
  <c r="I274" i="5"/>
  <c r="I270" i="5"/>
  <c r="I266" i="5"/>
  <c r="I262" i="5"/>
  <c r="I258" i="5"/>
  <c r="I254" i="5"/>
  <c r="I250" i="5"/>
  <c r="I246" i="5"/>
  <c r="I242" i="5"/>
  <c r="I238" i="5"/>
  <c r="I230" i="5"/>
  <c r="I166" i="5"/>
  <c r="I106" i="5"/>
  <c r="I102" i="5"/>
  <c r="I62" i="5"/>
  <c r="I54" i="5"/>
  <c r="I46" i="5"/>
  <c r="I38" i="5"/>
  <c r="I30" i="5"/>
  <c r="I22" i="5"/>
  <c r="I19" i="5"/>
  <c r="I74" i="5"/>
  <c r="I66" i="5"/>
  <c r="I58" i="5"/>
  <c r="I50" i="5"/>
  <c r="I42" i="5"/>
  <c r="I34" i="5"/>
  <c r="I26" i="5"/>
  <c r="I18" i="5"/>
  <c r="I15" i="5"/>
  <c r="I14" i="5" l="1"/>
  <c r="I3" i="5" s="1"/>
  <c r="N1440" i="5" l="1"/>
  <c r="M1440" i="5"/>
  <c r="N1438" i="5"/>
  <c r="M1438" i="5"/>
  <c r="N1437" i="5"/>
  <c r="M1437" i="5"/>
  <c r="N1435" i="5"/>
  <c r="M1435" i="5"/>
  <c r="N1434" i="5"/>
  <c r="M1434" i="5"/>
  <c r="N1433" i="5"/>
  <c r="M1433" i="5"/>
  <c r="N1432" i="5"/>
  <c r="M1432" i="5"/>
  <c r="N1431" i="5"/>
  <c r="N1430" i="5"/>
  <c r="M1430" i="5"/>
  <c r="N1429" i="5"/>
  <c r="M1429" i="5"/>
  <c r="N1428" i="5"/>
  <c r="N1427" i="5"/>
  <c r="M1427" i="5"/>
  <c r="N1426" i="5"/>
  <c r="N1425" i="5"/>
  <c r="M1425" i="5"/>
  <c r="N1424" i="5"/>
  <c r="N1422" i="5"/>
  <c r="N1421" i="5"/>
  <c r="M1421" i="5"/>
  <c r="N1420" i="5"/>
  <c r="N1419" i="5"/>
  <c r="M1419" i="5"/>
  <c r="N1418" i="5"/>
  <c r="M1418" i="5"/>
  <c r="N1417" i="5"/>
  <c r="M1417" i="5"/>
  <c r="N1416" i="5"/>
  <c r="M1416" i="5"/>
  <c r="N1415" i="5"/>
  <c r="M1415" i="5"/>
  <c r="N1413" i="5"/>
  <c r="M1413" i="5"/>
  <c r="N1412" i="5"/>
  <c r="M1412" i="5"/>
  <c r="N1411" i="5"/>
  <c r="M1411" i="5"/>
  <c r="N1410" i="5"/>
  <c r="N1409" i="5"/>
  <c r="N1408" i="5"/>
  <c r="M1408" i="5"/>
  <c r="N1407" i="5"/>
  <c r="M1407" i="5"/>
  <c r="N1406" i="5"/>
  <c r="M1406" i="5"/>
  <c r="N1405" i="5"/>
  <c r="M1405" i="5"/>
  <c r="N1404" i="5"/>
  <c r="M1404" i="5"/>
  <c r="N1403" i="5"/>
  <c r="M1403" i="5"/>
  <c r="N1401" i="5"/>
  <c r="M1401" i="5"/>
  <c r="N1400" i="5"/>
  <c r="M1400" i="5"/>
  <c r="N1399" i="5"/>
  <c r="M1399" i="5"/>
  <c r="N1398" i="5"/>
  <c r="M1398" i="5"/>
  <c r="N1397" i="5"/>
  <c r="M1397" i="5"/>
  <c r="N1396" i="5"/>
  <c r="M1396" i="5"/>
  <c r="N1395" i="5"/>
  <c r="M1395" i="5"/>
  <c r="N1394" i="5"/>
  <c r="M1394" i="5"/>
  <c r="N1392" i="5"/>
  <c r="M1392" i="5"/>
  <c r="N1391" i="5"/>
  <c r="M1391" i="5"/>
  <c r="N1390" i="5"/>
  <c r="M1390" i="5"/>
  <c r="N1389" i="5"/>
  <c r="M1389" i="5"/>
  <c r="N1388" i="5"/>
  <c r="M1388" i="5"/>
  <c r="N1387" i="5"/>
  <c r="M1387" i="5"/>
  <c r="N1386" i="5"/>
  <c r="M1386" i="5"/>
  <c r="N1385" i="5"/>
  <c r="M1385" i="5"/>
  <c r="N1384" i="5"/>
  <c r="M1384" i="5"/>
  <c r="N1383" i="5"/>
  <c r="M1383" i="5"/>
  <c r="N1381" i="5"/>
  <c r="M1381" i="5"/>
  <c r="N1380" i="5"/>
  <c r="M1380" i="5"/>
  <c r="N1379" i="5"/>
  <c r="M1379" i="5"/>
  <c r="N1378" i="5"/>
  <c r="M1378" i="5"/>
  <c r="N1377" i="5"/>
  <c r="M1377" i="5"/>
  <c r="N1376" i="5"/>
  <c r="M1376" i="5"/>
  <c r="N1375" i="5"/>
  <c r="M1375" i="5"/>
  <c r="N1374" i="5"/>
  <c r="M1374" i="5"/>
  <c r="N1373" i="5"/>
  <c r="M1373" i="5"/>
  <c r="N1372" i="5"/>
  <c r="M1372" i="5"/>
  <c r="N1371" i="5"/>
  <c r="M1371" i="5"/>
  <c r="N1370" i="5"/>
  <c r="M1370" i="5"/>
  <c r="N1369" i="5"/>
  <c r="M1369" i="5"/>
  <c r="N1368" i="5"/>
  <c r="M1368" i="5"/>
  <c r="N1367" i="5"/>
  <c r="M1367" i="5"/>
  <c r="N1366" i="5"/>
  <c r="M1366" i="5"/>
  <c r="N1365" i="5"/>
  <c r="M1365" i="5"/>
  <c r="N1364" i="5"/>
  <c r="M1364" i="5"/>
  <c r="N1363" i="5"/>
  <c r="M1363" i="5"/>
  <c r="N1362" i="5"/>
  <c r="M1362" i="5"/>
  <c r="N1361" i="5"/>
  <c r="M1361" i="5"/>
  <c r="N1358" i="5"/>
  <c r="M1358" i="5"/>
  <c r="N1357" i="5"/>
  <c r="M1357" i="5"/>
  <c r="N1356" i="5"/>
  <c r="M1356" i="5"/>
  <c r="N1355" i="5"/>
  <c r="M1355" i="5"/>
  <c r="N1354" i="5"/>
  <c r="M1354" i="5"/>
  <c r="N1353" i="5"/>
  <c r="M1353" i="5"/>
  <c r="N1352" i="5"/>
  <c r="M1352" i="5"/>
  <c r="N1351" i="5"/>
  <c r="M1351" i="5"/>
  <c r="N1350" i="5"/>
  <c r="M1350" i="5"/>
  <c r="N1348" i="5"/>
  <c r="M1348" i="5"/>
  <c r="N1347" i="5"/>
  <c r="M1347" i="5"/>
  <c r="N1346" i="5"/>
  <c r="M1346" i="5"/>
  <c r="N1345" i="5"/>
  <c r="M1345" i="5"/>
  <c r="N1344" i="5"/>
  <c r="M1344" i="5"/>
  <c r="N1343" i="5"/>
  <c r="M1343" i="5"/>
  <c r="N1342" i="5"/>
  <c r="M1342" i="5"/>
  <c r="N1341" i="5"/>
  <c r="M1341" i="5"/>
  <c r="N1340" i="5"/>
  <c r="M1340" i="5"/>
  <c r="N1339" i="5"/>
  <c r="M1339" i="5"/>
  <c r="N1338" i="5"/>
  <c r="M1338" i="5"/>
  <c r="N1337" i="5"/>
  <c r="M1337" i="5"/>
  <c r="N1336" i="5"/>
  <c r="M1336" i="5"/>
  <c r="N1335" i="5"/>
  <c r="M1335" i="5"/>
  <c r="N1334" i="5"/>
  <c r="M1334" i="5"/>
  <c r="N1333" i="5"/>
  <c r="M1333" i="5"/>
  <c r="N1332" i="5"/>
  <c r="M1332" i="5"/>
  <c r="N1331" i="5"/>
  <c r="M1331" i="5"/>
  <c r="N1330" i="5"/>
  <c r="M1330" i="5"/>
  <c r="N1329" i="5"/>
  <c r="M1329" i="5"/>
  <c r="N1328" i="5"/>
  <c r="M1328" i="5"/>
  <c r="N1327" i="5"/>
  <c r="M1327" i="5"/>
  <c r="N1326" i="5"/>
  <c r="M1326" i="5"/>
  <c r="N1325" i="5"/>
  <c r="M1325" i="5"/>
  <c r="N1324" i="5"/>
  <c r="M1324" i="5"/>
  <c r="N1323" i="5"/>
  <c r="M1323" i="5"/>
  <c r="N1322" i="5"/>
  <c r="M1322" i="5"/>
  <c r="N1321" i="5"/>
  <c r="M1321" i="5"/>
  <c r="N1320" i="5"/>
  <c r="M1320" i="5"/>
  <c r="N1319" i="5"/>
  <c r="M1319" i="5"/>
  <c r="N1318" i="5"/>
  <c r="M1318" i="5"/>
  <c r="N1317" i="5"/>
  <c r="M1317" i="5"/>
  <c r="N1316" i="5"/>
  <c r="M1316" i="5"/>
  <c r="N1315" i="5"/>
  <c r="M1315" i="5"/>
  <c r="N1314" i="5"/>
  <c r="M1314" i="5"/>
  <c r="N1313" i="5"/>
  <c r="M1313" i="5"/>
  <c r="N1312" i="5"/>
  <c r="M1312" i="5"/>
  <c r="N1311" i="5"/>
  <c r="M1311" i="5"/>
  <c r="N1310" i="5"/>
  <c r="M1310" i="5"/>
  <c r="N1309" i="5"/>
  <c r="M1309" i="5"/>
  <c r="N1307" i="5"/>
  <c r="M1307" i="5"/>
  <c r="N1306" i="5"/>
  <c r="M1306" i="5"/>
  <c r="N1305" i="5"/>
  <c r="M1305" i="5"/>
  <c r="N1304" i="5"/>
  <c r="M1304" i="5"/>
  <c r="N1303" i="5"/>
  <c r="M1303" i="5"/>
  <c r="N1302" i="5"/>
  <c r="M1302" i="5"/>
  <c r="N1301" i="5"/>
  <c r="M1301" i="5"/>
  <c r="N1300" i="5"/>
  <c r="M1300" i="5"/>
  <c r="N1299" i="5"/>
  <c r="M1299" i="5"/>
  <c r="N1298" i="5"/>
  <c r="M1298" i="5"/>
  <c r="N1297" i="5"/>
  <c r="M1297" i="5"/>
  <c r="N1296" i="5"/>
  <c r="M1296" i="5"/>
  <c r="N1295" i="5"/>
  <c r="M1295" i="5"/>
  <c r="N1294" i="5"/>
  <c r="M1294" i="5"/>
  <c r="N1293" i="5"/>
  <c r="M1293" i="5"/>
  <c r="N1292" i="5"/>
  <c r="M1292" i="5"/>
  <c r="N1291" i="5"/>
  <c r="M1291" i="5"/>
  <c r="N1290" i="5"/>
  <c r="M1290" i="5"/>
  <c r="N1289" i="5"/>
  <c r="M1289" i="5"/>
  <c r="N1288" i="5"/>
  <c r="M1288" i="5"/>
  <c r="N1287" i="5"/>
  <c r="M1287" i="5"/>
  <c r="N1286" i="5"/>
  <c r="M1286" i="5"/>
  <c r="N1283" i="5"/>
  <c r="M1283" i="5"/>
  <c r="N1281" i="5"/>
  <c r="M1281" i="5"/>
  <c r="N1280" i="5"/>
  <c r="M1280" i="5"/>
  <c r="N1279" i="5"/>
  <c r="M1279" i="5"/>
  <c r="N1277" i="5"/>
  <c r="M1277" i="5"/>
  <c r="N1276" i="5"/>
  <c r="M1276" i="5"/>
  <c r="N1274" i="5"/>
  <c r="M1274" i="5"/>
  <c r="N1273" i="5"/>
  <c r="M1273" i="5"/>
  <c r="N1271" i="5"/>
  <c r="M1271" i="5"/>
  <c r="N1270" i="5"/>
  <c r="M1270" i="5"/>
  <c r="N1268" i="5"/>
  <c r="M1268" i="5"/>
  <c r="N1267" i="5"/>
  <c r="N1266" i="5"/>
  <c r="M1266" i="5"/>
  <c r="N1265" i="5"/>
  <c r="M1265" i="5"/>
  <c r="N1263" i="5"/>
  <c r="M1263" i="5"/>
  <c r="N1262" i="5"/>
  <c r="M1262" i="5"/>
  <c r="N1261" i="5"/>
  <c r="M1261" i="5"/>
  <c r="N1260" i="5"/>
  <c r="M1260" i="5"/>
  <c r="N1259" i="5"/>
  <c r="M1259" i="5"/>
  <c r="N1258" i="5"/>
  <c r="M1258" i="5"/>
  <c r="N1257" i="5"/>
  <c r="M1257" i="5"/>
  <c r="N1255" i="5"/>
  <c r="M1255" i="5"/>
  <c r="N1254" i="5"/>
  <c r="M1254" i="5"/>
  <c r="N1253" i="5"/>
  <c r="M1253" i="5"/>
  <c r="N1252" i="5"/>
  <c r="M1252" i="5"/>
  <c r="N1251" i="5"/>
  <c r="M1251" i="5"/>
  <c r="N1250" i="5"/>
  <c r="M1250" i="5"/>
  <c r="N1248" i="5"/>
  <c r="M1248" i="5"/>
  <c r="N1247" i="5"/>
  <c r="M1247" i="5"/>
  <c r="N1246" i="5"/>
  <c r="M1246" i="5"/>
  <c r="N1245" i="5"/>
  <c r="M1245" i="5"/>
  <c r="N1244" i="5"/>
  <c r="M1244" i="5"/>
  <c r="N1243" i="5"/>
  <c r="M1243" i="5"/>
  <c r="N1242" i="5"/>
  <c r="M1242" i="5"/>
  <c r="N1240" i="5"/>
  <c r="M1240" i="5"/>
  <c r="N1239" i="5"/>
  <c r="M1239" i="5"/>
  <c r="N1238" i="5"/>
  <c r="M1238" i="5"/>
  <c r="N1237" i="5"/>
  <c r="M1237" i="5"/>
  <c r="N1236" i="5"/>
  <c r="M1236" i="5"/>
  <c r="N1233" i="5"/>
  <c r="M1233" i="5"/>
  <c r="N1232" i="5"/>
  <c r="M1232" i="5"/>
  <c r="N1231" i="5"/>
  <c r="M1231" i="5"/>
  <c r="N1230" i="5"/>
  <c r="M1230" i="5"/>
  <c r="N1229" i="5"/>
  <c r="M1229" i="5"/>
  <c r="N1228" i="5"/>
  <c r="N1227" i="5"/>
  <c r="N1226" i="5"/>
  <c r="N1225" i="5"/>
  <c r="N1224" i="5"/>
  <c r="N1223" i="5"/>
  <c r="M1223" i="5"/>
  <c r="N1222" i="5"/>
  <c r="M1222" i="5"/>
  <c r="N1220" i="5"/>
  <c r="M1220" i="5"/>
  <c r="N1219" i="5"/>
  <c r="M1219" i="5"/>
  <c r="N1217" i="5"/>
  <c r="M1217" i="5"/>
  <c r="N1216" i="5"/>
  <c r="M1216" i="5"/>
  <c r="N1211" i="5"/>
  <c r="M1211" i="5"/>
  <c r="N1207" i="5"/>
  <c r="M1207" i="5"/>
  <c r="N1206" i="5"/>
  <c r="M1206" i="5"/>
  <c r="N1205" i="5"/>
  <c r="M1205" i="5"/>
  <c r="N1204" i="5"/>
  <c r="M1204" i="5"/>
  <c r="N1203" i="5"/>
  <c r="M1203" i="5"/>
  <c r="N1202" i="5"/>
  <c r="M1202" i="5"/>
  <c r="N1201" i="5"/>
  <c r="M1201" i="5"/>
  <c r="N1198" i="5"/>
  <c r="M1198" i="5"/>
  <c r="N1197" i="5"/>
  <c r="M1197" i="5"/>
  <c r="N1196" i="5"/>
  <c r="M1196" i="5"/>
  <c r="N1195" i="5"/>
  <c r="N1192" i="5"/>
  <c r="N1191" i="5"/>
  <c r="M1191" i="5"/>
  <c r="N1190" i="5"/>
  <c r="M1190" i="5"/>
  <c r="N1189" i="5"/>
  <c r="M1189" i="5"/>
  <c r="N1187" i="5"/>
  <c r="M1187" i="5"/>
  <c r="N1186" i="5"/>
  <c r="M1186" i="5"/>
  <c r="N1185" i="5"/>
  <c r="M1185" i="5"/>
  <c r="N1184" i="5"/>
  <c r="M1184" i="5"/>
  <c r="N1183" i="5"/>
  <c r="M1183" i="5"/>
  <c r="N1182" i="5"/>
  <c r="M1182" i="5"/>
  <c r="N1181" i="5"/>
  <c r="M1181" i="5"/>
  <c r="N1180" i="5"/>
  <c r="M1180" i="5"/>
  <c r="N1179" i="5"/>
  <c r="M1179" i="5"/>
  <c r="N1178" i="5"/>
  <c r="M1178" i="5"/>
  <c r="N1177" i="5"/>
  <c r="M1177" i="5"/>
  <c r="N1175" i="5"/>
  <c r="M1175" i="5"/>
  <c r="N1174" i="5"/>
  <c r="M1174" i="5"/>
  <c r="N1173" i="5"/>
  <c r="M1173" i="5"/>
  <c r="N1172" i="5"/>
  <c r="M1172" i="5"/>
  <c r="N1171" i="5"/>
  <c r="M1171" i="5"/>
  <c r="N1170" i="5"/>
  <c r="M1170" i="5"/>
  <c r="N1169" i="5"/>
  <c r="M1169" i="5"/>
  <c r="N1168" i="5"/>
  <c r="M1168" i="5"/>
  <c r="N1167" i="5"/>
  <c r="M1167" i="5"/>
  <c r="N1165" i="5"/>
  <c r="M1165" i="5"/>
  <c r="N1164" i="5"/>
  <c r="M1164" i="5"/>
  <c r="N1163" i="5"/>
  <c r="M1163" i="5"/>
  <c r="N1162" i="5"/>
  <c r="M1162" i="5"/>
  <c r="N1161" i="5"/>
  <c r="M1161" i="5"/>
  <c r="N1160" i="5"/>
  <c r="M1160" i="5"/>
  <c r="N1158" i="5"/>
  <c r="M1158" i="5"/>
  <c r="N1157" i="5"/>
  <c r="M1157" i="5"/>
  <c r="N1156" i="5"/>
  <c r="M1156" i="5"/>
  <c r="N1155" i="5"/>
  <c r="M1155" i="5"/>
  <c r="N1152" i="5"/>
  <c r="M1152" i="5"/>
  <c r="N1151" i="5"/>
  <c r="M1151" i="5"/>
  <c r="N1150" i="5"/>
  <c r="M1150" i="5"/>
  <c r="N1149" i="5"/>
  <c r="M1149" i="5"/>
  <c r="N1147" i="5"/>
  <c r="M1147" i="5"/>
  <c r="N1146" i="5"/>
  <c r="M1146" i="5"/>
  <c r="N1145" i="5"/>
  <c r="M1145" i="5"/>
  <c r="N1144" i="5"/>
  <c r="M1144" i="5"/>
  <c r="N1142" i="5"/>
  <c r="M1142" i="5"/>
  <c r="N1141" i="5"/>
  <c r="M1141" i="5"/>
  <c r="N1140" i="5"/>
  <c r="M1140" i="5"/>
  <c r="N1139" i="5"/>
  <c r="M1139" i="5"/>
  <c r="N1137" i="5"/>
  <c r="M1137" i="5"/>
  <c r="N1136" i="5"/>
  <c r="M1136" i="5"/>
  <c r="N1135" i="5"/>
  <c r="M1135" i="5"/>
  <c r="N1134" i="5"/>
  <c r="M1134" i="5"/>
  <c r="N1133" i="5"/>
  <c r="M1133" i="5"/>
  <c r="N1132" i="5"/>
  <c r="M1132" i="5"/>
  <c r="N1131" i="5"/>
  <c r="M1131" i="5"/>
  <c r="N1130" i="5"/>
  <c r="M1130" i="5"/>
  <c r="N1129" i="5"/>
  <c r="M1129" i="5"/>
  <c r="N1127" i="5"/>
  <c r="M1127" i="5"/>
  <c r="N1126" i="5"/>
  <c r="M1126" i="5"/>
  <c r="N1125" i="5"/>
  <c r="M1125" i="5"/>
  <c r="N1124" i="5"/>
  <c r="M1124" i="5"/>
  <c r="N1123" i="5"/>
  <c r="M1123" i="5"/>
  <c r="N1121" i="5"/>
  <c r="M1121" i="5"/>
  <c r="N1120" i="5"/>
  <c r="M1120" i="5"/>
  <c r="N1119" i="5"/>
  <c r="M1119" i="5"/>
  <c r="N1118" i="5"/>
  <c r="M1118" i="5"/>
  <c r="N1117" i="5"/>
  <c r="M1117" i="5"/>
  <c r="N1116" i="5"/>
  <c r="M1116" i="5"/>
  <c r="N1115" i="5"/>
  <c r="M1115" i="5"/>
  <c r="N1114" i="5"/>
  <c r="M1114" i="5"/>
  <c r="N1113" i="5"/>
  <c r="M1113" i="5"/>
  <c r="N1112" i="5"/>
  <c r="M1112" i="5"/>
  <c r="N1111" i="5"/>
  <c r="M1111" i="5"/>
  <c r="N1110" i="5"/>
  <c r="M1110" i="5"/>
  <c r="N1109" i="5"/>
  <c r="N1108" i="5"/>
  <c r="M1108" i="5"/>
  <c r="N1106" i="5"/>
  <c r="M1106" i="5"/>
  <c r="N1105" i="5"/>
  <c r="M1105" i="5"/>
  <c r="N1104" i="5"/>
  <c r="N1103" i="5"/>
  <c r="M1103" i="5"/>
  <c r="N1102" i="5"/>
  <c r="M1102" i="5"/>
  <c r="N1101" i="5"/>
  <c r="M1101" i="5"/>
  <c r="N1100" i="5"/>
  <c r="M1100" i="5"/>
  <c r="N1099" i="5"/>
  <c r="M1099" i="5"/>
  <c r="N1098" i="5"/>
  <c r="M1098" i="5"/>
  <c r="N1097" i="5"/>
  <c r="M1097" i="5"/>
  <c r="N1095" i="5"/>
  <c r="M1095" i="5"/>
  <c r="N1094" i="5"/>
  <c r="M1094" i="5"/>
  <c r="N1093" i="5"/>
  <c r="M1093" i="5"/>
  <c r="N1092" i="5"/>
  <c r="M1092" i="5"/>
  <c r="N1091" i="5"/>
  <c r="M1091" i="5"/>
  <c r="N1090" i="5"/>
  <c r="M1090" i="5"/>
  <c r="N1089" i="5"/>
  <c r="M1089" i="5"/>
  <c r="N1088" i="5"/>
  <c r="M1088" i="5"/>
  <c r="N1087" i="5"/>
  <c r="M1087" i="5"/>
  <c r="N1086" i="5"/>
  <c r="M1086" i="5"/>
  <c r="N1085" i="5"/>
  <c r="M1085" i="5"/>
  <c r="N1084" i="5"/>
  <c r="M1084" i="5"/>
  <c r="N1083" i="5"/>
  <c r="M1083" i="5"/>
  <c r="N1082" i="5"/>
  <c r="M1082" i="5"/>
  <c r="N1081" i="5"/>
  <c r="M1081" i="5"/>
  <c r="N1080" i="5"/>
  <c r="M1080" i="5"/>
  <c r="N1079" i="5"/>
  <c r="M1079" i="5"/>
  <c r="N1078" i="5"/>
  <c r="M1078" i="5"/>
  <c r="N1077" i="5"/>
  <c r="M1077" i="5"/>
  <c r="N1076" i="5"/>
  <c r="M1076" i="5"/>
  <c r="N1075" i="5"/>
  <c r="M1075" i="5"/>
  <c r="N1074" i="5"/>
  <c r="M1074" i="5"/>
  <c r="N1072" i="5"/>
  <c r="M1072" i="5"/>
  <c r="N1071" i="5"/>
  <c r="M1071" i="5"/>
  <c r="N1070" i="5"/>
  <c r="M1070" i="5"/>
  <c r="N1069" i="5"/>
  <c r="N1068" i="5"/>
  <c r="N1067" i="5"/>
  <c r="N1066" i="5"/>
  <c r="M1066" i="5"/>
  <c r="N1065" i="5"/>
  <c r="M1065" i="5"/>
  <c r="N1064" i="5"/>
  <c r="M1064" i="5"/>
  <c r="N1063" i="5"/>
  <c r="M1063" i="5"/>
  <c r="N1062" i="5"/>
  <c r="M1062" i="5"/>
  <c r="N1061" i="5"/>
  <c r="M1061" i="5"/>
  <c r="N1060" i="5"/>
  <c r="M1060" i="5"/>
  <c r="N1059" i="5"/>
  <c r="M1059" i="5"/>
  <c r="N1057" i="5"/>
  <c r="M1057" i="5"/>
  <c r="N1056" i="5"/>
  <c r="M1056" i="5"/>
  <c r="N1055" i="5"/>
  <c r="M1055" i="5"/>
  <c r="N1054" i="5"/>
  <c r="M1054" i="5"/>
  <c r="N1053" i="5"/>
  <c r="M1053" i="5"/>
  <c r="N1052" i="5"/>
  <c r="M1052" i="5"/>
  <c r="N1051" i="5"/>
  <c r="M1051" i="5"/>
  <c r="N1050" i="5"/>
  <c r="M1050" i="5"/>
  <c r="N1049" i="5"/>
  <c r="M1049" i="5"/>
  <c r="N1048" i="5"/>
  <c r="M1048" i="5"/>
  <c r="N1047" i="5"/>
  <c r="M1047" i="5"/>
  <c r="N1046" i="5"/>
  <c r="M1046" i="5"/>
  <c r="N1045" i="5"/>
  <c r="M1045" i="5"/>
  <c r="N1044" i="5"/>
  <c r="M1044" i="5"/>
  <c r="N1043" i="5"/>
  <c r="M1043" i="5"/>
  <c r="N1042" i="5"/>
  <c r="M1042" i="5"/>
  <c r="N1041" i="5"/>
  <c r="M1041" i="5"/>
  <c r="N1040" i="5"/>
  <c r="M1040" i="5"/>
  <c r="N1039" i="5"/>
  <c r="M1039" i="5"/>
  <c r="N1038" i="5"/>
  <c r="M1038" i="5"/>
  <c r="N1037" i="5"/>
  <c r="M1037" i="5"/>
  <c r="N1036" i="5"/>
  <c r="M1036" i="5"/>
  <c r="N1035" i="5"/>
  <c r="M1035" i="5"/>
  <c r="N1034" i="5"/>
  <c r="M1034" i="5"/>
  <c r="N1033" i="5"/>
  <c r="M1033" i="5"/>
  <c r="N1032" i="5"/>
  <c r="M1032" i="5"/>
  <c r="N1031" i="5"/>
  <c r="M1031" i="5"/>
  <c r="N1030" i="5"/>
  <c r="M1030" i="5"/>
  <c r="N1029" i="5"/>
  <c r="M1029" i="5"/>
  <c r="N1028" i="5"/>
  <c r="M1028" i="5"/>
  <c r="N1027" i="5"/>
  <c r="M1027" i="5"/>
  <c r="N1026" i="5"/>
  <c r="M1026" i="5"/>
  <c r="N1025" i="5"/>
  <c r="M1025" i="5"/>
  <c r="N1024" i="5"/>
  <c r="M1024" i="5"/>
  <c r="N1023" i="5"/>
  <c r="M1023" i="5"/>
  <c r="N1022" i="5"/>
  <c r="M1022" i="5"/>
  <c r="N1019" i="5"/>
  <c r="M1019" i="5"/>
  <c r="N1018" i="5"/>
  <c r="M1018" i="5"/>
  <c r="N1017" i="5"/>
  <c r="M1017" i="5"/>
  <c r="N1016" i="5"/>
  <c r="M1016" i="5"/>
  <c r="N1015" i="5"/>
  <c r="M1015" i="5"/>
  <c r="N1014" i="5"/>
  <c r="M1014" i="5"/>
  <c r="N1013" i="5"/>
  <c r="M1013" i="5"/>
  <c r="N1012" i="5"/>
  <c r="M1012" i="5"/>
  <c r="N1011" i="5"/>
  <c r="M1011" i="5"/>
  <c r="N1010" i="5"/>
  <c r="M1010" i="5"/>
  <c r="N1009" i="5"/>
  <c r="M1009" i="5"/>
  <c r="N1008" i="5"/>
  <c r="M1008" i="5"/>
  <c r="N1007" i="5"/>
  <c r="M1007" i="5"/>
  <c r="N1005" i="5"/>
  <c r="M1005" i="5"/>
  <c r="N1004" i="5"/>
  <c r="M1004" i="5"/>
  <c r="N1003" i="5"/>
  <c r="M1003" i="5"/>
  <c r="N1002" i="5"/>
  <c r="M1002" i="5"/>
  <c r="N1001" i="5"/>
  <c r="N1000" i="5"/>
  <c r="N999" i="5"/>
  <c r="M999" i="5"/>
  <c r="N998" i="5"/>
  <c r="M998" i="5"/>
  <c r="N997" i="5"/>
  <c r="M997" i="5"/>
  <c r="N994" i="5"/>
  <c r="M994" i="5"/>
  <c r="N993" i="5"/>
  <c r="M993" i="5"/>
  <c r="N991" i="5"/>
  <c r="M991" i="5"/>
  <c r="N990" i="5"/>
  <c r="M990" i="5"/>
  <c r="N989" i="5"/>
  <c r="M989" i="5"/>
  <c r="N988" i="5"/>
  <c r="M988" i="5"/>
  <c r="N987" i="5"/>
  <c r="M987" i="5"/>
  <c r="N985" i="5"/>
  <c r="M985" i="5"/>
  <c r="N984" i="5"/>
  <c r="M984" i="5"/>
  <c r="N982" i="5"/>
  <c r="M982" i="5"/>
  <c r="N981" i="5"/>
  <c r="M981" i="5"/>
  <c r="N980" i="5"/>
  <c r="M980" i="5"/>
  <c r="N978" i="5"/>
  <c r="M978" i="5"/>
  <c r="N977" i="5"/>
  <c r="M977" i="5"/>
  <c r="N976" i="5"/>
  <c r="M976" i="5"/>
  <c r="N975" i="5"/>
  <c r="M975" i="5"/>
  <c r="N974" i="5"/>
  <c r="M974" i="5"/>
  <c r="N973" i="5"/>
  <c r="M973" i="5"/>
  <c r="N971" i="5"/>
  <c r="M971" i="5"/>
  <c r="N970" i="5"/>
  <c r="M970" i="5"/>
  <c r="N969" i="5"/>
  <c r="M969" i="5"/>
  <c r="N967" i="5"/>
  <c r="M967" i="5"/>
  <c r="N966" i="5"/>
  <c r="M966" i="5"/>
  <c r="N965" i="5"/>
  <c r="M965" i="5"/>
  <c r="N964" i="5"/>
  <c r="M964" i="5"/>
  <c r="N963" i="5"/>
  <c r="M963" i="5"/>
  <c r="N962" i="5"/>
  <c r="M962" i="5"/>
  <c r="N961" i="5"/>
  <c r="M961" i="5"/>
  <c r="N960" i="5"/>
  <c r="M960" i="5"/>
  <c r="N958" i="5"/>
  <c r="M958" i="5"/>
  <c r="N957" i="5"/>
  <c r="M957" i="5"/>
  <c r="N956" i="5"/>
  <c r="M956" i="5"/>
  <c r="N953" i="5"/>
  <c r="M953" i="5"/>
  <c r="N952" i="5"/>
  <c r="M952" i="5"/>
  <c r="N950" i="5"/>
  <c r="M950" i="5"/>
  <c r="N949" i="5"/>
  <c r="M949" i="5"/>
  <c r="N948" i="5"/>
  <c r="M948" i="5"/>
  <c r="N947" i="5"/>
  <c r="M947" i="5"/>
  <c r="N946" i="5"/>
  <c r="M946" i="5"/>
  <c r="N945" i="5"/>
  <c r="M945" i="5"/>
  <c r="N944" i="5"/>
  <c r="M944" i="5"/>
  <c r="N943" i="5"/>
  <c r="N942" i="5"/>
  <c r="M942" i="5"/>
  <c r="N941" i="5"/>
  <c r="M941" i="5"/>
  <c r="N940" i="5"/>
  <c r="M940" i="5"/>
  <c r="N939" i="5"/>
  <c r="M939" i="5"/>
  <c r="N938" i="5"/>
  <c r="M938" i="5"/>
  <c r="N937" i="5"/>
  <c r="M937" i="5"/>
  <c r="N935" i="5"/>
  <c r="M935" i="5"/>
  <c r="N934" i="5"/>
  <c r="M934" i="5"/>
  <c r="N933" i="5"/>
  <c r="M933" i="5"/>
  <c r="N932" i="5"/>
  <c r="M932" i="5"/>
  <c r="N931" i="5"/>
  <c r="M931" i="5"/>
  <c r="N930" i="5"/>
  <c r="M930" i="5"/>
  <c r="N928" i="5"/>
  <c r="M928" i="5"/>
  <c r="N927" i="5"/>
  <c r="M927" i="5"/>
  <c r="N926" i="5"/>
  <c r="M926" i="5"/>
  <c r="N925" i="5"/>
  <c r="M925" i="5"/>
  <c r="N924" i="5"/>
  <c r="M924" i="5"/>
  <c r="N923" i="5"/>
  <c r="M923" i="5"/>
  <c r="N922" i="5"/>
  <c r="M922" i="5"/>
  <c r="N921" i="5"/>
  <c r="M921" i="5"/>
  <c r="N920" i="5"/>
  <c r="M920" i="5"/>
  <c r="N919" i="5"/>
  <c r="M919" i="5"/>
  <c r="N918" i="5"/>
  <c r="M918" i="5"/>
  <c r="N917" i="5"/>
  <c r="M917" i="5"/>
  <c r="N916" i="5"/>
  <c r="M916" i="5"/>
  <c r="N915" i="5"/>
  <c r="M915" i="5"/>
  <c r="N914" i="5"/>
  <c r="M914" i="5"/>
  <c r="N913" i="5"/>
  <c r="M913" i="5"/>
  <c r="N912" i="5"/>
  <c r="M912" i="5"/>
  <c r="N910" i="5"/>
  <c r="N909" i="5"/>
  <c r="N908" i="5"/>
  <c r="M908" i="5"/>
  <c r="N907" i="5"/>
  <c r="M907" i="5"/>
  <c r="N905" i="5"/>
  <c r="M905" i="5"/>
  <c r="N904" i="5"/>
  <c r="M904" i="5"/>
  <c r="N902" i="5"/>
  <c r="N901" i="5"/>
  <c r="N900" i="5"/>
  <c r="M900" i="5"/>
  <c r="N899" i="5"/>
  <c r="M899" i="5"/>
  <c r="N898" i="5"/>
  <c r="M898" i="5"/>
  <c r="N897" i="5"/>
  <c r="M897" i="5"/>
  <c r="N896" i="5"/>
  <c r="M896" i="5"/>
  <c r="N895" i="5"/>
  <c r="M895" i="5"/>
  <c r="N894" i="5"/>
  <c r="M894" i="5"/>
  <c r="N893" i="5"/>
  <c r="M893" i="5"/>
  <c r="N892" i="5"/>
  <c r="M892" i="5"/>
  <c r="N891" i="5"/>
  <c r="M891" i="5"/>
  <c r="N890" i="5"/>
  <c r="M890" i="5"/>
  <c r="N889" i="5"/>
  <c r="M889" i="5"/>
  <c r="N888" i="5"/>
  <c r="M888" i="5"/>
  <c r="N887" i="5"/>
  <c r="M887" i="5"/>
  <c r="N886" i="5"/>
  <c r="M886" i="5"/>
  <c r="N885" i="5"/>
  <c r="M885" i="5"/>
  <c r="N884" i="5"/>
  <c r="M884" i="5"/>
  <c r="N883" i="5"/>
  <c r="M883" i="5"/>
  <c r="N882" i="5"/>
  <c r="M882" i="5"/>
  <c r="N881" i="5"/>
  <c r="M881" i="5"/>
  <c r="N880" i="5"/>
  <c r="M880" i="5"/>
  <c r="N879" i="5"/>
  <c r="M879" i="5"/>
  <c r="N878" i="5"/>
  <c r="M878" i="5"/>
  <c r="N877" i="5"/>
  <c r="M877" i="5"/>
  <c r="N875" i="5"/>
  <c r="M875" i="5"/>
  <c r="N874" i="5"/>
  <c r="M874" i="5"/>
  <c r="N873" i="5"/>
  <c r="M873" i="5"/>
  <c r="N872" i="5"/>
  <c r="M872" i="5"/>
  <c r="N871" i="5"/>
  <c r="M871" i="5"/>
  <c r="N870" i="5"/>
  <c r="M870" i="5"/>
  <c r="N869" i="5"/>
  <c r="M869" i="5"/>
  <c r="N868" i="5"/>
  <c r="M868" i="5"/>
  <c r="N867" i="5"/>
  <c r="M867" i="5"/>
  <c r="N866" i="5"/>
  <c r="M866" i="5"/>
  <c r="N865" i="5"/>
  <c r="M865" i="5"/>
  <c r="N864" i="5"/>
  <c r="M864" i="5"/>
  <c r="N863" i="5"/>
  <c r="M863" i="5"/>
  <c r="N861" i="5"/>
  <c r="M861" i="5"/>
  <c r="N860" i="5"/>
  <c r="M860" i="5"/>
  <c r="N859" i="5"/>
  <c r="M859" i="5"/>
  <c r="N856" i="5"/>
  <c r="M856" i="5"/>
  <c r="N855" i="5"/>
  <c r="M855" i="5"/>
  <c r="N854" i="5"/>
  <c r="M854" i="5"/>
  <c r="N852" i="5"/>
  <c r="M852" i="5"/>
  <c r="N850" i="5"/>
  <c r="M850" i="5"/>
  <c r="N849" i="5"/>
  <c r="M849" i="5"/>
  <c r="N848" i="5"/>
  <c r="M848" i="5"/>
  <c r="N846" i="5"/>
  <c r="M846" i="5"/>
  <c r="N845" i="5"/>
  <c r="M845" i="5"/>
  <c r="N844" i="5"/>
  <c r="M844" i="5"/>
  <c r="N843" i="5"/>
  <c r="M843" i="5"/>
  <c r="N842" i="5"/>
  <c r="M842" i="5"/>
  <c r="N841" i="5"/>
  <c r="M841" i="5"/>
  <c r="N839" i="5"/>
  <c r="M839" i="5"/>
  <c r="N838" i="5"/>
  <c r="M838" i="5"/>
  <c r="N837" i="5"/>
  <c r="M837" i="5"/>
  <c r="N836" i="5"/>
  <c r="N834" i="5"/>
  <c r="M834" i="5"/>
  <c r="N833" i="5"/>
  <c r="M833" i="5"/>
  <c r="N831" i="5"/>
  <c r="M831" i="5"/>
  <c r="N830" i="5"/>
  <c r="M830" i="5"/>
  <c r="N829" i="5"/>
  <c r="M829" i="5"/>
  <c r="N828" i="5"/>
  <c r="M828" i="5"/>
  <c r="N827" i="5"/>
  <c r="M827" i="5"/>
  <c r="N826" i="5"/>
  <c r="M826" i="5"/>
  <c r="N825" i="5"/>
  <c r="M825" i="5"/>
  <c r="N824" i="5"/>
  <c r="M824" i="5"/>
  <c r="N823" i="5"/>
  <c r="M823" i="5"/>
  <c r="N821" i="5"/>
  <c r="M821" i="5"/>
  <c r="N820" i="5"/>
  <c r="M820" i="5"/>
  <c r="N818" i="5"/>
  <c r="M818" i="5"/>
  <c r="N817" i="5"/>
  <c r="M817" i="5"/>
  <c r="N816" i="5"/>
  <c r="M816" i="5"/>
  <c r="N815" i="5"/>
  <c r="M815" i="5"/>
  <c r="N814" i="5"/>
  <c r="M814" i="5"/>
  <c r="N813" i="5"/>
  <c r="M813" i="5"/>
  <c r="N812" i="5"/>
  <c r="M812" i="5"/>
  <c r="N811" i="5"/>
  <c r="M811" i="5"/>
  <c r="N810" i="5"/>
  <c r="M810" i="5"/>
  <c r="N809" i="5"/>
  <c r="M809" i="5"/>
  <c r="N808" i="5"/>
  <c r="M808" i="5"/>
  <c r="N807" i="5"/>
  <c r="M807" i="5"/>
  <c r="N806" i="5"/>
  <c r="M806" i="5"/>
  <c r="N805" i="5"/>
  <c r="M805" i="5"/>
  <c r="N804" i="5"/>
  <c r="M804" i="5"/>
  <c r="N803" i="5"/>
  <c r="M803" i="5"/>
  <c r="N802" i="5"/>
  <c r="M802" i="5"/>
  <c r="N801" i="5"/>
  <c r="M801" i="5"/>
  <c r="N800" i="5"/>
  <c r="M800" i="5"/>
  <c r="N799" i="5"/>
  <c r="M799" i="5"/>
  <c r="N798" i="5"/>
  <c r="M798" i="5"/>
  <c r="N796" i="5"/>
  <c r="M796" i="5"/>
  <c r="N795" i="5"/>
  <c r="M795" i="5"/>
  <c r="N794" i="5"/>
  <c r="M794" i="5"/>
  <c r="N793" i="5"/>
  <c r="M793" i="5"/>
  <c r="N792" i="5"/>
  <c r="M792" i="5"/>
  <c r="N791" i="5"/>
  <c r="M791" i="5"/>
  <c r="N790" i="5"/>
  <c r="M790" i="5"/>
  <c r="N789" i="5"/>
  <c r="M789" i="5"/>
  <c r="N788" i="5"/>
  <c r="M788" i="5"/>
  <c r="N787" i="5"/>
  <c r="M787" i="5"/>
  <c r="N786" i="5"/>
  <c r="M786" i="5"/>
  <c r="N785" i="5"/>
  <c r="M785" i="5"/>
  <c r="N784" i="5"/>
  <c r="M784" i="5"/>
  <c r="N783" i="5"/>
  <c r="M783" i="5"/>
  <c r="N782" i="5"/>
  <c r="M782" i="5"/>
  <c r="N781" i="5"/>
  <c r="M781" i="5"/>
  <c r="N780" i="5"/>
  <c r="M780" i="5"/>
  <c r="N779" i="5"/>
  <c r="M779" i="5"/>
  <c r="N778" i="5"/>
  <c r="M778" i="5"/>
  <c r="N777" i="5"/>
  <c r="M777" i="5"/>
  <c r="N776" i="5"/>
  <c r="M776" i="5"/>
  <c r="N775" i="5"/>
  <c r="M775" i="5"/>
  <c r="N774" i="5"/>
  <c r="M774" i="5"/>
  <c r="N773" i="5"/>
  <c r="M773" i="5"/>
  <c r="N772" i="5"/>
  <c r="M772" i="5"/>
  <c r="N771" i="5"/>
  <c r="M771" i="5"/>
  <c r="N770" i="5"/>
  <c r="M770" i="5"/>
  <c r="N768" i="5"/>
  <c r="M768" i="5"/>
  <c r="N767" i="5"/>
  <c r="M767" i="5"/>
  <c r="N766" i="5"/>
  <c r="M766" i="5"/>
  <c r="N765" i="5"/>
  <c r="M765" i="5"/>
  <c r="N764" i="5"/>
  <c r="M764" i="5"/>
  <c r="N763" i="5"/>
  <c r="M763" i="5"/>
  <c r="N762" i="5"/>
  <c r="M762" i="5"/>
  <c r="N761" i="5"/>
  <c r="M761" i="5"/>
  <c r="N758" i="5"/>
  <c r="M758" i="5"/>
  <c r="N757" i="5"/>
  <c r="M757" i="5"/>
  <c r="N756" i="5"/>
  <c r="M756" i="5"/>
  <c r="N755" i="5"/>
  <c r="M755" i="5"/>
  <c r="N754" i="5"/>
  <c r="M754" i="5"/>
  <c r="N753" i="5"/>
  <c r="M753" i="5"/>
  <c r="N752" i="5"/>
  <c r="M752" i="5"/>
  <c r="N751" i="5"/>
  <c r="M751" i="5"/>
  <c r="N750" i="5"/>
  <c r="M750" i="5"/>
  <c r="N749" i="5"/>
  <c r="M749" i="5"/>
  <c r="N748" i="5"/>
  <c r="M748" i="5"/>
  <c r="N747" i="5"/>
  <c r="M747" i="5"/>
  <c r="N746" i="5"/>
  <c r="M746" i="5"/>
  <c r="N745" i="5"/>
  <c r="M745" i="5"/>
  <c r="N744" i="5"/>
  <c r="M744" i="5"/>
  <c r="N742" i="5"/>
  <c r="M742" i="5"/>
  <c r="N741" i="5"/>
  <c r="M741" i="5"/>
  <c r="N740" i="5"/>
  <c r="M740" i="5"/>
  <c r="N739" i="5"/>
  <c r="M739" i="5"/>
  <c r="N738" i="5"/>
  <c r="M738" i="5"/>
  <c r="N737" i="5"/>
  <c r="M737" i="5"/>
  <c r="N736" i="5"/>
  <c r="M736" i="5"/>
  <c r="N735" i="5"/>
  <c r="M735" i="5"/>
  <c r="N734" i="5"/>
  <c r="M734" i="5"/>
  <c r="N733" i="5"/>
  <c r="M733" i="5"/>
  <c r="N732" i="5"/>
  <c r="M732" i="5"/>
  <c r="N731" i="5"/>
  <c r="M731" i="5"/>
  <c r="N730" i="5"/>
  <c r="M730" i="5"/>
  <c r="N729" i="5"/>
  <c r="M729" i="5"/>
  <c r="N728" i="5"/>
  <c r="M728" i="5"/>
  <c r="N727" i="5"/>
  <c r="M727" i="5"/>
  <c r="N726" i="5"/>
  <c r="M726" i="5"/>
  <c r="N725" i="5"/>
  <c r="M725" i="5"/>
  <c r="N724" i="5"/>
  <c r="M724" i="5"/>
  <c r="N723" i="5"/>
  <c r="M723" i="5"/>
  <c r="N722" i="5"/>
  <c r="M722" i="5"/>
  <c r="N721" i="5"/>
  <c r="M721" i="5"/>
  <c r="N720" i="5"/>
  <c r="M720" i="5"/>
  <c r="N719" i="5"/>
  <c r="M719" i="5"/>
  <c r="N718" i="5"/>
  <c r="M718" i="5"/>
  <c r="N717" i="5"/>
  <c r="M717" i="5"/>
  <c r="N716" i="5"/>
  <c r="M716" i="5"/>
  <c r="N715" i="5"/>
  <c r="M715" i="5"/>
  <c r="N714" i="5"/>
  <c r="M714" i="5"/>
  <c r="N713" i="5"/>
  <c r="M713" i="5"/>
  <c r="N712" i="5"/>
  <c r="M712" i="5"/>
  <c r="N711" i="5"/>
  <c r="M711" i="5"/>
  <c r="N710" i="5"/>
  <c r="M710" i="5"/>
  <c r="N709" i="5"/>
  <c r="M709" i="5"/>
  <c r="N708" i="5"/>
  <c r="M708" i="5"/>
  <c r="N707" i="5"/>
  <c r="M707" i="5"/>
  <c r="N706" i="5"/>
  <c r="M706" i="5"/>
  <c r="N705" i="5"/>
  <c r="M705" i="5"/>
  <c r="N704" i="5"/>
  <c r="M704" i="5"/>
  <c r="N703" i="5"/>
  <c r="M703" i="5"/>
  <c r="N701" i="5"/>
  <c r="M701" i="5"/>
  <c r="N700" i="5"/>
  <c r="M700" i="5"/>
  <c r="N698" i="5"/>
  <c r="M698" i="5"/>
  <c r="N697" i="5"/>
  <c r="M697" i="5"/>
  <c r="N695" i="5"/>
  <c r="M695" i="5"/>
  <c r="N693" i="5"/>
  <c r="M693" i="5"/>
  <c r="N691" i="5"/>
  <c r="M691" i="5"/>
  <c r="N690" i="5"/>
  <c r="M690" i="5"/>
  <c r="N689" i="5"/>
  <c r="M689" i="5"/>
  <c r="N688" i="5"/>
  <c r="M688" i="5"/>
  <c r="N687" i="5"/>
  <c r="M687" i="5"/>
  <c r="N686" i="5"/>
  <c r="M686" i="5"/>
  <c r="N685" i="5"/>
  <c r="N684" i="5"/>
  <c r="N683" i="5"/>
  <c r="M683" i="5"/>
  <c r="N682" i="5"/>
  <c r="M682" i="5"/>
  <c r="N680" i="5"/>
  <c r="M680" i="5"/>
  <c r="N678" i="5"/>
  <c r="M678" i="5"/>
  <c r="N677" i="5"/>
  <c r="M677" i="5"/>
  <c r="N676" i="5"/>
  <c r="M676" i="5"/>
  <c r="N675" i="5"/>
  <c r="M675" i="5"/>
  <c r="N674" i="5"/>
  <c r="M674" i="5"/>
  <c r="N672" i="5"/>
  <c r="M672" i="5"/>
  <c r="N671" i="5"/>
  <c r="M671" i="5"/>
  <c r="N669" i="5"/>
  <c r="M669" i="5"/>
  <c r="N668" i="5"/>
  <c r="M668" i="5"/>
  <c r="N667" i="5"/>
  <c r="M667" i="5"/>
  <c r="N666" i="5"/>
  <c r="M666" i="5"/>
  <c r="N663" i="5"/>
  <c r="M663" i="5"/>
  <c r="N662" i="5"/>
  <c r="M662" i="5"/>
  <c r="N661" i="5"/>
  <c r="M661" i="5"/>
  <c r="N660" i="5"/>
  <c r="N659" i="5"/>
  <c r="N658" i="5"/>
  <c r="N657" i="5"/>
  <c r="N656" i="5"/>
  <c r="M656" i="5"/>
  <c r="N655" i="5"/>
  <c r="M655" i="5"/>
  <c r="N654" i="5"/>
  <c r="M654" i="5"/>
  <c r="N653" i="5"/>
  <c r="N652" i="5"/>
  <c r="N651" i="5"/>
  <c r="N650" i="5"/>
  <c r="N649" i="5"/>
  <c r="N648" i="5"/>
  <c r="N647" i="5"/>
  <c r="N645" i="5"/>
  <c r="N644" i="5"/>
  <c r="N643" i="5"/>
  <c r="N642" i="5"/>
  <c r="N640" i="5"/>
  <c r="N639" i="5"/>
  <c r="N638" i="5"/>
  <c r="N637" i="5"/>
  <c r="N636" i="5"/>
  <c r="N635" i="5"/>
  <c r="N634" i="5"/>
  <c r="N633" i="5"/>
  <c r="N632" i="5"/>
  <c r="N631" i="5"/>
  <c r="N629" i="5"/>
  <c r="N628" i="5"/>
  <c r="M628" i="5"/>
  <c r="N627" i="5"/>
  <c r="M627" i="5"/>
  <c r="N626" i="5"/>
  <c r="M626" i="5"/>
  <c r="N625" i="5"/>
  <c r="M625" i="5"/>
  <c r="N624" i="5"/>
  <c r="M624" i="5"/>
  <c r="N623" i="5"/>
  <c r="M623" i="5"/>
  <c r="N622" i="5"/>
  <c r="M622" i="5"/>
  <c r="N621" i="5"/>
  <c r="M621" i="5"/>
  <c r="N620" i="5"/>
  <c r="M620" i="5"/>
  <c r="N619" i="5"/>
  <c r="M619" i="5"/>
  <c r="N618" i="5"/>
  <c r="M618" i="5"/>
  <c r="N617" i="5"/>
  <c r="M617" i="5"/>
  <c r="N616" i="5"/>
  <c r="M616" i="5"/>
  <c r="N615" i="5"/>
  <c r="M615" i="5"/>
  <c r="N614" i="5"/>
  <c r="M614" i="5"/>
  <c r="N613" i="5"/>
  <c r="M613" i="5"/>
  <c r="N612" i="5"/>
  <c r="M612" i="5"/>
  <c r="N611" i="5"/>
  <c r="M611" i="5"/>
  <c r="N610" i="5"/>
  <c r="M610" i="5"/>
  <c r="N609" i="5"/>
  <c r="M609" i="5"/>
  <c r="N608" i="5"/>
  <c r="M608" i="5"/>
  <c r="N607" i="5"/>
  <c r="M607" i="5"/>
  <c r="N606" i="5"/>
  <c r="M606" i="5"/>
  <c r="N605" i="5"/>
  <c r="M605" i="5"/>
  <c r="N596" i="5"/>
  <c r="M596" i="5"/>
  <c r="N595" i="5"/>
  <c r="M595" i="5"/>
  <c r="N594" i="5"/>
  <c r="M594" i="5"/>
  <c r="N593" i="5"/>
  <c r="M593" i="5"/>
  <c r="N591" i="5"/>
  <c r="M591" i="5"/>
  <c r="N590" i="5"/>
  <c r="M590" i="5"/>
  <c r="N589" i="5"/>
  <c r="M589" i="5"/>
  <c r="N588" i="5"/>
  <c r="M588" i="5"/>
  <c r="N587" i="5"/>
  <c r="M587" i="5"/>
  <c r="N586" i="5"/>
  <c r="M586" i="5"/>
  <c r="M585" i="5"/>
  <c r="N583" i="5"/>
  <c r="M583" i="5"/>
  <c r="N582" i="5"/>
  <c r="M582" i="5"/>
  <c r="N581" i="5"/>
  <c r="M581" i="5"/>
  <c r="N580" i="5"/>
  <c r="M580" i="5"/>
  <c r="N579" i="5"/>
  <c r="M579" i="5"/>
  <c r="N578" i="5"/>
  <c r="M578" i="5"/>
  <c r="N577" i="5"/>
  <c r="M577" i="5"/>
  <c r="N576" i="5"/>
  <c r="M576" i="5"/>
  <c r="N575" i="5"/>
  <c r="M575" i="5"/>
  <c r="N574" i="5"/>
  <c r="M574" i="5"/>
  <c r="N573" i="5"/>
  <c r="M573" i="5"/>
  <c r="N572" i="5"/>
  <c r="M572" i="5"/>
  <c r="N571" i="5"/>
  <c r="M571" i="5"/>
  <c r="N568" i="5"/>
  <c r="M568" i="5"/>
  <c r="N567" i="5"/>
  <c r="M567" i="5"/>
  <c r="N566" i="5"/>
  <c r="M566" i="5"/>
  <c r="N565" i="5"/>
  <c r="M565" i="5"/>
  <c r="N564" i="5"/>
  <c r="N563" i="5"/>
  <c r="N561" i="5"/>
  <c r="M561" i="5"/>
  <c r="N560" i="5"/>
  <c r="M560" i="5"/>
  <c r="N559" i="5"/>
  <c r="M559" i="5"/>
  <c r="N558" i="5"/>
  <c r="M558" i="5"/>
  <c r="N557" i="5"/>
  <c r="M557" i="5"/>
  <c r="N556" i="5"/>
  <c r="M556" i="5"/>
  <c r="N555" i="5"/>
  <c r="M555" i="5"/>
  <c r="N554" i="5"/>
  <c r="M554" i="5"/>
  <c r="N553" i="5"/>
  <c r="M553" i="5"/>
  <c r="N552" i="5"/>
  <c r="M552" i="5"/>
  <c r="N550" i="5"/>
  <c r="M550" i="5"/>
  <c r="N549" i="5"/>
  <c r="M549" i="5"/>
  <c r="N548" i="5"/>
  <c r="M548" i="5"/>
  <c r="N547" i="5"/>
  <c r="M547" i="5"/>
  <c r="N546" i="5"/>
  <c r="M546" i="5"/>
  <c r="N545" i="5"/>
  <c r="M545" i="5"/>
  <c r="N544" i="5"/>
  <c r="M544" i="5"/>
  <c r="N543" i="5"/>
  <c r="M543" i="5"/>
  <c r="N541" i="5"/>
  <c r="M541" i="5"/>
  <c r="N540" i="5"/>
  <c r="M540" i="5"/>
  <c r="N539" i="5"/>
  <c r="M539" i="5"/>
  <c r="N538" i="5"/>
  <c r="M538" i="5"/>
  <c r="N537" i="5"/>
  <c r="M537" i="5"/>
  <c r="N536" i="5"/>
  <c r="M536" i="5"/>
  <c r="N535" i="5"/>
  <c r="M535" i="5"/>
  <c r="N534" i="5"/>
  <c r="M534" i="5"/>
  <c r="N533" i="5"/>
  <c r="M533" i="5"/>
  <c r="N532" i="5"/>
  <c r="M532" i="5"/>
  <c r="N531" i="5"/>
  <c r="M531" i="5"/>
  <c r="N530" i="5"/>
  <c r="M530" i="5"/>
  <c r="N529" i="5"/>
  <c r="M529" i="5"/>
  <c r="N528" i="5"/>
  <c r="M528" i="5"/>
  <c r="N526" i="5"/>
  <c r="M526" i="5"/>
  <c r="N525" i="5"/>
  <c r="M525" i="5"/>
  <c r="N524" i="5"/>
  <c r="M524" i="5"/>
  <c r="N523" i="5"/>
  <c r="M523" i="5"/>
  <c r="N522" i="5"/>
  <c r="M522" i="5"/>
  <c r="N521" i="5"/>
  <c r="M521" i="5"/>
  <c r="N520" i="5"/>
  <c r="M520" i="5"/>
  <c r="N519" i="5"/>
  <c r="M519" i="5"/>
  <c r="N518" i="5"/>
  <c r="M518" i="5"/>
  <c r="N517" i="5"/>
  <c r="M517" i="5"/>
  <c r="M516" i="5"/>
  <c r="N515" i="5"/>
  <c r="M515" i="5"/>
  <c r="N514" i="5"/>
  <c r="N513" i="5"/>
  <c r="M513" i="5"/>
  <c r="N512" i="5"/>
  <c r="M512" i="5"/>
  <c r="N510" i="5"/>
  <c r="M510" i="5"/>
  <c r="N509" i="5"/>
  <c r="M509" i="5"/>
  <c r="N508" i="5"/>
  <c r="M508" i="5"/>
  <c r="N507" i="5"/>
  <c r="M507" i="5"/>
  <c r="N506" i="5"/>
  <c r="M506" i="5"/>
  <c r="N505" i="5"/>
  <c r="M505" i="5"/>
  <c r="N504" i="5"/>
  <c r="M504" i="5"/>
  <c r="N503" i="5"/>
  <c r="M503" i="5"/>
  <c r="N502" i="5"/>
  <c r="M502" i="5"/>
  <c r="N501" i="5"/>
  <c r="M501" i="5"/>
  <c r="N500" i="5"/>
  <c r="M500" i="5"/>
  <c r="N499" i="5"/>
  <c r="M499" i="5"/>
  <c r="N498" i="5"/>
  <c r="M498" i="5"/>
  <c r="N497" i="5"/>
  <c r="M497" i="5"/>
  <c r="N496" i="5"/>
  <c r="M496" i="5"/>
  <c r="N495" i="5"/>
  <c r="M495" i="5"/>
  <c r="N492" i="5"/>
  <c r="M492" i="5"/>
  <c r="N491" i="5"/>
  <c r="M491" i="5"/>
  <c r="N490" i="5"/>
  <c r="M490" i="5"/>
  <c r="N489" i="5"/>
  <c r="M489" i="5"/>
  <c r="N488" i="5"/>
  <c r="M488" i="5"/>
  <c r="N487" i="5"/>
  <c r="M487" i="5"/>
  <c r="N486" i="5"/>
  <c r="M486" i="5"/>
  <c r="N485" i="5"/>
  <c r="M485" i="5"/>
  <c r="N484" i="5"/>
  <c r="M484" i="5"/>
  <c r="N482" i="5"/>
  <c r="M482" i="5"/>
  <c r="N481" i="5"/>
  <c r="M481" i="5"/>
  <c r="N480" i="5"/>
  <c r="M480" i="5"/>
  <c r="N479" i="5"/>
  <c r="M479" i="5"/>
  <c r="N478" i="5"/>
  <c r="M478" i="5"/>
  <c r="N476" i="5"/>
  <c r="M476" i="5"/>
  <c r="N475" i="5"/>
  <c r="M475" i="5"/>
  <c r="N474" i="5"/>
  <c r="M474" i="5"/>
  <c r="N473" i="5"/>
  <c r="M473" i="5"/>
  <c r="N472" i="5"/>
  <c r="M472" i="5"/>
  <c r="N471" i="5"/>
  <c r="M471" i="5"/>
  <c r="N470" i="5"/>
  <c r="M470" i="5"/>
  <c r="N469" i="5"/>
  <c r="M469" i="5"/>
  <c r="N468" i="5"/>
  <c r="M468" i="5"/>
  <c r="N467" i="5"/>
  <c r="M467" i="5"/>
  <c r="N465" i="5"/>
  <c r="M465" i="5"/>
  <c r="N464" i="5"/>
  <c r="M464" i="5"/>
  <c r="N462" i="5"/>
  <c r="M462" i="5"/>
  <c r="N461" i="5"/>
  <c r="M461" i="5"/>
  <c r="N460" i="5"/>
  <c r="M460" i="5"/>
  <c r="N459" i="5"/>
  <c r="M459" i="5"/>
  <c r="N458" i="5"/>
  <c r="M458" i="5"/>
  <c r="N457" i="5"/>
  <c r="M457" i="5"/>
  <c r="N456" i="5"/>
  <c r="M456" i="5"/>
  <c r="N453" i="5"/>
  <c r="M453" i="5"/>
  <c r="N452" i="5"/>
  <c r="M452" i="5"/>
  <c r="N451" i="5"/>
  <c r="M451" i="5"/>
  <c r="N450" i="5"/>
  <c r="M450" i="5"/>
  <c r="N449" i="5"/>
  <c r="M449" i="5"/>
  <c r="N447" i="5"/>
  <c r="M447" i="5"/>
  <c r="N446" i="5"/>
  <c r="M446" i="5"/>
  <c r="N445" i="5"/>
  <c r="M445" i="5"/>
  <c r="N444" i="5"/>
  <c r="M444" i="5"/>
  <c r="N443" i="5"/>
  <c r="M443" i="5"/>
  <c r="N441" i="5"/>
  <c r="M441" i="5"/>
  <c r="N440" i="5"/>
  <c r="M440" i="5"/>
  <c r="N439" i="5"/>
  <c r="M439" i="5"/>
  <c r="N438" i="5"/>
  <c r="M438" i="5"/>
  <c r="N437" i="5"/>
  <c r="M437" i="5"/>
  <c r="N436" i="5"/>
  <c r="M436" i="5"/>
  <c r="N434" i="5"/>
  <c r="M434" i="5"/>
  <c r="N432" i="5"/>
  <c r="M432" i="5"/>
  <c r="N431" i="5"/>
  <c r="M431" i="5"/>
  <c r="N430" i="5"/>
  <c r="M430" i="5"/>
  <c r="N429" i="5"/>
  <c r="M429" i="5"/>
  <c r="N428" i="5"/>
  <c r="M428" i="5"/>
  <c r="N427" i="5"/>
  <c r="M427" i="5"/>
  <c r="N426" i="5"/>
  <c r="M426" i="5"/>
  <c r="N425" i="5"/>
  <c r="M425" i="5"/>
  <c r="N424" i="5"/>
  <c r="M424" i="5"/>
  <c r="N423" i="5"/>
  <c r="M423" i="5"/>
  <c r="N422" i="5"/>
  <c r="M422" i="5"/>
  <c r="N421" i="5"/>
  <c r="M421" i="5"/>
  <c r="N420" i="5"/>
  <c r="M420" i="5"/>
  <c r="N419" i="5"/>
  <c r="M419" i="5"/>
  <c r="N418" i="5"/>
  <c r="M418" i="5"/>
  <c r="N417" i="5"/>
  <c r="M417" i="5"/>
  <c r="N416" i="5"/>
  <c r="M416" i="5"/>
  <c r="N414" i="5"/>
  <c r="M414" i="5"/>
  <c r="N413" i="5"/>
  <c r="M413" i="5"/>
  <c r="N412" i="5"/>
  <c r="M412" i="5"/>
  <c r="N410" i="5"/>
  <c r="M410" i="5"/>
  <c r="N409" i="5"/>
  <c r="M409" i="5"/>
  <c r="N408" i="5"/>
  <c r="M408" i="5"/>
  <c r="N407" i="5"/>
  <c r="M407" i="5"/>
  <c r="N406" i="5"/>
  <c r="M406" i="5"/>
  <c r="N405" i="5"/>
  <c r="M405" i="5"/>
  <c r="N404" i="5"/>
  <c r="M404" i="5"/>
  <c r="N403" i="5"/>
  <c r="M403" i="5"/>
  <c r="N402" i="5"/>
  <c r="M402" i="5"/>
  <c r="N401" i="5"/>
  <c r="M401" i="5"/>
  <c r="N400" i="5"/>
  <c r="M400" i="5"/>
  <c r="N399" i="5"/>
  <c r="M399" i="5"/>
  <c r="N395" i="5"/>
  <c r="M395" i="5"/>
  <c r="N394" i="5"/>
  <c r="M394" i="5"/>
  <c r="N393" i="5"/>
  <c r="M393" i="5"/>
  <c r="N392" i="5"/>
  <c r="M392" i="5"/>
  <c r="N391" i="5"/>
  <c r="M391" i="5"/>
  <c r="N390" i="5"/>
  <c r="M390" i="5"/>
  <c r="N389" i="5"/>
  <c r="M389" i="5"/>
  <c r="N388" i="5"/>
  <c r="M388" i="5"/>
  <c r="N386" i="5"/>
  <c r="N383" i="5"/>
  <c r="M383" i="5"/>
  <c r="N382" i="5"/>
  <c r="M382" i="5"/>
  <c r="N381" i="5"/>
  <c r="M381" i="5"/>
  <c r="M379" i="5"/>
  <c r="N377" i="5"/>
  <c r="M377" i="5"/>
  <c r="N376" i="5"/>
  <c r="M376" i="5"/>
  <c r="N375" i="5"/>
  <c r="M375" i="5"/>
  <c r="N364" i="5"/>
  <c r="M364" i="5"/>
  <c r="N363" i="5"/>
  <c r="M363" i="5"/>
  <c r="N362" i="5"/>
  <c r="M362" i="5"/>
  <c r="N361" i="5"/>
  <c r="M361" i="5"/>
  <c r="N360" i="5"/>
  <c r="M360" i="5"/>
  <c r="N359" i="5"/>
  <c r="N357" i="5"/>
  <c r="M357" i="5"/>
  <c r="N356" i="5"/>
  <c r="M356" i="5"/>
  <c r="N355" i="5"/>
  <c r="M355" i="5"/>
  <c r="N354" i="5"/>
  <c r="M354" i="5"/>
  <c r="N353" i="5"/>
  <c r="M353" i="5"/>
  <c r="N352" i="5"/>
  <c r="M352" i="5"/>
  <c r="N351" i="5"/>
  <c r="M351" i="5"/>
  <c r="N350" i="5"/>
  <c r="M350" i="5"/>
  <c r="N349" i="5"/>
  <c r="M349" i="5"/>
  <c r="N348" i="5"/>
  <c r="M348" i="5"/>
  <c r="N347" i="5"/>
  <c r="M347" i="5"/>
  <c r="N346" i="5"/>
  <c r="M346" i="5"/>
  <c r="N345" i="5"/>
  <c r="M345" i="5"/>
  <c r="N344" i="5"/>
  <c r="M344" i="5"/>
  <c r="N343" i="5"/>
  <c r="M343" i="5"/>
  <c r="N342" i="5"/>
  <c r="M342" i="5"/>
  <c r="N341" i="5"/>
  <c r="M341" i="5"/>
  <c r="N339" i="5"/>
  <c r="N338" i="5"/>
  <c r="N337" i="5"/>
  <c r="M337" i="5"/>
  <c r="N336" i="5"/>
  <c r="M336" i="5"/>
  <c r="N335" i="5"/>
  <c r="M335" i="5"/>
  <c r="N334" i="5"/>
  <c r="M334" i="5"/>
  <c r="N333" i="5"/>
  <c r="M333" i="5"/>
  <c r="N332" i="5"/>
  <c r="M332" i="5"/>
  <c r="N331" i="5"/>
  <c r="M331" i="5"/>
  <c r="N330" i="5"/>
  <c r="M330" i="5"/>
  <c r="N329" i="5"/>
  <c r="M329" i="5"/>
  <c r="N327" i="5"/>
  <c r="M327" i="5"/>
  <c r="N326" i="5"/>
  <c r="M326" i="5"/>
  <c r="N325" i="5"/>
  <c r="M325" i="5"/>
  <c r="N324" i="5"/>
  <c r="M324" i="5"/>
  <c r="N323" i="5"/>
  <c r="M323" i="5"/>
  <c r="N322" i="5"/>
  <c r="M322" i="5"/>
  <c r="N321" i="5"/>
  <c r="M321" i="5"/>
  <c r="N320" i="5"/>
  <c r="M320" i="5"/>
  <c r="N318" i="5"/>
  <c r="M318" i="5"/>
  <c r="N317" i="5"/>
  <c r="M317" i="5"/>
  <c r="N316" i="5"/>
  <c r="M316" i="5"/>
  <c r="N315" i="5"/>
  <c r="M315" i="5"/>
  <c r="N314" i="5"/>
  <c r="M314" i="5"/>
  <c r="N313" i="5"/>
  <c r="M313" i="5"/>
  <c r="N312" i="5"/>
  <c r="M312" i="5"/>
  <c r="N311" i="5"/>
  <c r="M311" i="5"/>
  <c r="N310" i="5"/>
  <c r="M310" i="5"/>
  <c r="N309" i="5"/>
  <c r="M309" i="5"/>
  <c r="N308" i="5"/>
  <c r="M308" i="5"/>
  <c r="N307" i="5"/>
  <c r="M307" i="5"/>
  <c r="N306" i="5"/>
  <c r="M306" i="5"/>
  <c r="N305" i="5"/>
  <c r="M305" i="5"/>
  <c r="N304" i="5"/>
  <c r="M304" i="5"/>
  <c r="N303" i="5"/>
  <c r="M303" i="5"/>
  <c r="N302" i="5"/>
  <c r="M302" i="5"/>
  <c r="N301" i="5"/>
  <c r="M301" i="5"/>
  <c r="N300" i="5"/>
  <c r="M300" i="5"/>
  <c r="N299" i="5"/>
  <c r="M299" i="5"/>
  <c r="N298" i="5"/>
  <c r="M298" i="5"/>
  <c r="N297" i="5"/>
  <c r="M297" i="5"/>
  <c r="N296" i="5"/>
  <c r="M296" i="5"/>
  <c r="N295" i="5"/>
  <c r="M295" i="5"/>
  <c r="N294" i="5"/>
  <c r="M294" i="5"/>
  <c r="N292" i="5"/>
  <c r="M292" i="5"/>
  <c r="N291" i="5"/>
  <c r="M291" i="5"/>
  <c r="N290" i="5"/>
  <c r="M290" i="5"/>
  <c r="N289" i="5"/>
  <c r="M289" i="5"/>
  <c r="N288" i="5"/>
  <c r="M288" i="5"/>
  <c r="N287" i="5"/>
  <c r="M287" i="5"/>
  <c r="N286" i="5"/>
  <c r="M286" i="5"/>
  <c r="N285" i="5"/>
  <c r="M285" i="5"/>
  <c r="N284" i="5"/>
  <c r="M284" i="5"/>
  <c r="N283" i="5"/>
  <c r="M283" i="5"/>
  <c r="N282" i="5"/>
  <c r="M282" i="5"/>
  <c r="N281" i="5"/>
  <c r="M281" i="5"/>
  <c r="N280" i="5"/>
  <c r="M280" i="5"/>
  <c r="N279" i="5"/>
  <c r="M279" i="5"/>
  <c r="N278" i="5"/>
  <c r="M278" i="5"/>
  <c r="N277" i="5"/>
  <c r="M277" i="5"/>
  <c r="N276" i="5"/>
  <c r="M276" i="5"/>
  <c r="N275" i="5"/>
  <c r="M275" i="5"/>
  <c r="N274" i="5"/>
  <c r="N273" i="5"/>
  <c r="N272" i="5"/>
  <c r="N271" i="5"/>
  <c r="M271" i="5"/>
  <c r="N270" i="5"/>
  <c r="M270" i="5"/>
  <c r="N265" i="5"/>
  <c r="N261" i="5"/>
  <c r="M261" i="5"/>
  <c r="N260" i="5"/>
  <c r="M260" i="5"/>
  <c r="N259" i="5"/>
  <c r="M259" i="5"/>
  <c r="N258" i="5"/>
  <c r="M258" i="5"/>
  <c r="N257" i="5"/>
  <c r="M257" i="5"/>
  <c r="N256" i="5"/>
  <c r="M256" i="5"/>
  <c r="N255" i="5"/>
  <c r="M255" i="5"/>
  <c r="N254" i="5"/>
  <c r="M254" i="5"/>
  <c r="N253" i="5"/>
  <c r="M253" i="5"/>
  <c r="N252" i="5"/>
  <c r="M252" i="5"/>
  <c r="N251" i="5"/>
  <c r="M251" i="5"/>
  <c r="N250" i="5"/>
  <c r="M250" i="5"/>
  <c r="N249" i="5"/>
  <c r="M249" i="5"/>
  <c r="N248" i="5"/>
  <c r="M248" i="5"/>
  <c r="N247" i="5"/>
  <c r="M247" i="5"/>
  <c r="N246" i="5"/>
  <c r="M246" i="5"/>
  <c r="N245" i="5"/>
  <c r="M245" i="5"/>
  <c r="N244" i="5"/>
  <c r="M244" i="5"/>
  <c r="N243" i="5"/>
  <c r="M243" i="5"/>
  <c r="N242" i="5"/>
  <c r="M242" i="5"/>
  <c r="N241" i="5"/>
  <c r="M241" i="5"/>
  <c r="N240" i="5"/>
  <c r="M240" i="5"/>
  <c r="N239" i="5"/>
  <c r="M239" i="5"/>
  <c r="N238" i="5"/>
  <c r="M238" i="5"/>
  <c r="N237" i="5"/>
  <c r="M237" i="5"/>
  <c r="N236" i="5"/>
  <c r="M236" i="5"/>
  <c r="N235" i="5"/>
  <c r="N233" i="5"/>
  <c r="N232" i="5"/>
  <c r="N231" i="5"/>
  <c r="N230" i="5"/>
  <c r="N228" i="5"/>
  <c r="M228" i="5"/>
  <c r="N227" i="5"/>
  <c r="N226" i="5"/>
  <c r="M226" i="5"/>
  <c r="N225" i="5"/>
  <c r="M225" i="5"/>
  <c r="N224" i="5"/>
  <c r="M224" i="5"/>
  <c r="N223" i="5"/>
  <c r="M223" i="5"/>
  <c r="N222" i="5"/>
  <c r="M222" i="5"/>
  <c r="N221" i="5"/>
  <c r="M221" i="5"/>
  <c r="N220" i="5"/>
  <c r="M220" i="5"/>
  <c r="N219" i="5"/>
  <c r="M219" i="5"/>
  <c r="N218" i="5"/>
  <c r="M218" i="5"/>
  <c r="N217" i="5"/>
  <c r="N214" i="5"/>
  <c r="M214" i="5"/>
  <c r="N213" i="5"/>
  <c r="M213" i="5"/>
  <c r="N211" i="5"/>
  <c r="M211" i="5"/>
  <c r="N210" i="5"/>
  <c r="M210" i="5"/>
  <c r="N209" i="5"/>
  <c r="M209" i="5"/>
  <c r="N208" i="5"/>
  <c r="M208" i="5"/>
  <c r="N207" i="5"/>
  <c r="M207" i="5"/>
  <c r="N204" i="5"/>
  <c r="M204" i="5"/>
  <c r="N200" i="5"/>
  <c r="M200" i="5"/>
  <c r="N198" i="5"/>
  <c r="M198" i="5"/>
  <c r="N197" i="5"/>
  <c r="M197" i="5"/>
  <c r="N195" i="5"/>
  <c r="M195" i="5"/>
  <c r="N194" i="5"/>
  <c r="M194" i="5"/>
  <c r="N193" i="5"/>
  <c r="M193" i="5"/>
  <c r="N192" i="5"/>
  <c r="M192" i="5"/>
  <c r="N191" i="5"/>
  <c r="M191" i="5"/>
  <c r="N189" i="5"/>
  <c r="M189" i="5"/>
  <c r="N188" i="5"/>
  <c r="M188" i="5"/>
  <c r="N187" i="5"/>
  <c r="M187" i="5"/>
  <c r="N186" i="5"/>
  <c r="M186" i="5"/>
  <c r="N184" i="5"/>
  <c r="M184" i="5"/>
  <c r="N183" i="5"/>
  <c r="M183" i="5"/>
  <c r="N182" i="5"/>
  <c r="M182" i="5"/>
  <c r="N181" i="5"/>
  <c r="M181" i="5"/>
  <c r="N180" i="5"/>
  <c r="M180" i="5"/>
  <c r="N179" i="5"/>
  <c r="M179" i="5"/>
  <c r="N177" i="5"/>
  <c r="M177" i="5"/>
  <c r="N176" i="5"/>
  <c r="M176" i="5"/>
  <c r="N175" i="5"/>
  <c r="M175" i="5"/>
  <c r="N174" i="5"/>
  <c r="M174" i="5"/>
  <c r="N173" i="5"/>
  <c r="M173" i="5"/>
  <c r="N171" i="5"/>
  <c r="M171" i="5"/>
  <c r="N168" i="5"/>
  <c r="M168" i="5"/>
  <c r="N167" i="5"/>
  <c r="M167" i="5"/>
  <c r="N166" i="5"/>
  <c r="M166" i="5"/>
  <c r="N165" i="5"/>
  <c r="M165" i="5"/>
  <c r="N164" i="5"/>
  <c r="M164" i="5"/>
  <c r="N163" i="5"/>
  <c r="M163" i="5"/>
  <c r="N160" i="5"/>
  <c r="M160" i="5"/>
  <c r="N158" i="5"/>
  <c r="M158" i="5"/>
  <c r="N157" i="5"/>
  <c r="M157" i="5"/>
  <c r="N156" i="5"/>
  <c r="M156" i="5"/>
  <c r="N155" i="5"/>
  <c r="M155" i="5"/>
  <c r="N152" i="5"/>
  <c r="M152" i="5"/>
  <c r="N150" i="5"/>
  <c r="M150" i="5"/>
  <c r="N149" i="5"/>
  <c r="M149" i="5"/>
  <c r="N148" i="5"/>
  <c r="M148" i="5"/>
  <c r="N145" i="5"/>
  <c r="M145" i="5"/>
  <c r="N144" i="5"/>
  <c r="M144" i="5"/>
  <c r="N143" i="5"/>
  <c r="M143" i="5"/>
  <c r="N142" i="5"/>
  <c r="M142" i="5"/>
  <c r="N141" i="5"/>
  <c r="M141" i="5"/>
  <c r="N140" i="5"/>
  <c r="M140" i="5"/>
  <c r="N139" i="5"/>
  <c r="M139" i="5"/>
  <c r="N137" i="5"/>
  <c r="M137" i="5"/>
  <c r="N136" i="5"/>
  <c r="M136" i="5"/>
  <c r="N134" i="5"/>
  <c r="M134" i="5"/>
  <c r="N133" i="5"/>
  <c r="M133" i="5"/>
  <c r="N131" i="5"/>
  <c r="M131" i="5"/>
  <c r="N130" i="5"/>
  <c r="M130" i="5"/>
  <c r="N129" i="5"/>
  <c r="M129" i="5"/>
  <c r="N128" i="5"/>
  <c r="M128" i="5"/>
  <c r="N127" i="5"/>
  <c r="M127" i="5"/>
  <c r="N126" i="5"/>
  <c r="M126" i="5"/>
  <c r="N125" i="5"/>
  <c r="M125" i="5"/>
  <c r="N124" i="5"/>
  <c r="M124" i="5"/>
  <c r="N123" i="5"/>
  <c r="M123" i="5"/>
  <c r="N122" i="5"/>
  <c r="M122" i="5"/>
  <c r="N121" i="5"/>
  <c r="M121" i="5"/>
  <c r="N120" i="5"/>
  <c r="M120" i="5"/>
  <c r="N119" i="5"/>
  <c r="M119" i="5"/>
  <c r="N118" i="5"/>
  <c r="M118" i="5"/>
  <c r="N117" i="5"/>
  <c r="M117" i="5"/>
  <c r="N116" i="5"/>
  <c r="M116" i="5"/>
  <c r="N115" i="5"/>
  <c r="M115" i="5"/>
  <c r="N114" i="5"/>
  <c r="M114" i="5"/>
  <c r="N112" i="5"/>
  <c r="M112" i="5"/>
  <c r="N111" i="5"/>
  <c r="M111" i="5"/>
  <c r="N110" i="5"/>
  <c r="M110" i="5"/>
  <c r="N109" i="5"/>
  <c r="M109" i="5"/>
  <c r="N108" i="5"/>
  <c r="M108" i="5"/>
  <c r="N106" i="5"/>
  <c r="M106" i="5"/>
  <c r="N105" i="5"/>
  <c r="M105" i="5"/>
  <c r="N104" i="5"/>
  <c r="M104" i="5"/>
  <c r="N102" i="5"/>
  <c r="M102" i="5"/>
  <c r="N101" i="5"/>
  <c r="M101" i="5"/>
  <c r="N100" i="5"/>
  <c r="M100" i="5"/>
  <c r="N99" i="5"/>
  <c r="M99" i="5"/>
  <c r="N97" i="5"/>
  <c r="M97" i="5"/>
  <c r="N96" i="5"/>
  <c r="M96" i="5"/>
  <c r="N95" i="5"/>
  <c r="M95" i="5"/>
  <c r="M94" i="5"/>
  <c r="N92" i="5"/>
  <c r="M92" i="5"/>
  <c r="N89" i="5"/>
  <c r="M89" i="5"/>
  <c r="N88" i="5"/>
  <c r="M88" i="5"/>
  <c r="N87" i="5"/>
  <c r="M87" i="5"/>
  <c r="N86" i="5"/>
  <c r="M86" i="5"/>
  <c r="N85" i="5"/>
  <c r="M85" i="5"/>
  <c r="N84" i="5"/>
  <c r="M84" i="5"/>
  <c r="N83" i="5"/>
  <c r="M83" i="5"/>
  <c r="N82" i="5"/>
  <c r="M82" i="5"/>
  <c r="N81" i="5"/>
  <c r="M81" i="5"/>
  <c r="N80" i="5"/>
  <c r="M80" i="5"/>
  <c r="N79" i="5"/>
  <c r="M79" i="5"/>
  <c r="N78" i="5"/>
  <c r="M78" i="5"/>
  <c r="N77" i="5"/>
  <c r="M77" i="5"/>
  <c r="N76" i="5"/>
  <c r="M76" i="5"/>
  <c r="N75" i="5"/>
  <c r="M75" i="5"/>
  <c r="N74" i="5"/>
  <c r="M74" i="5"/>
  <c r="N73" i="5"/>
  <c r="M73" i="5"/>
  <c r="N72" i="5"/>
  <c r="M72" i="5"/>
  <c r="N71" i="5"/>
  <c r="M71" i="5"/>
  <c r="N69" i="5"/>
  <c r="M69" i="5"/>
  <c r="N68" i="5"/>
  <c r="M68" i="5"/>
  <c r="N67" i="5"/>
  <c r="M67" i="5"/>
  <c r="N66" i="5"/>
  <c r="M66" i="5"/>
  <c r="N65" i="5"/>
  <c r="M65" i="5"/>
  <c r="N64" i="5"/>
  <c r="M64" i="5"/>
  <c r="N63" i="5"/>
  <c r="M63" i="5"/>
  <c r="N62" i="5"/>
  <c r="N61" i="5"/>
  <c r="M61" i="5"/>
  <c r="N60" i="5"/>
  <c r="M60" i="5"/>
  <c r="N59" i="5"/>
  <c r="M59" i="5"/>
  <c r="N58" i="5"/>
  <c r="M58" i="5"/>
  <c r="N57" i="5"/>
  <c r="M57" i="5"/>
  <c r="N56" i="5"/>
  <c r="M56" i="5"/>
  <c r="N55" i="5"/>
  <c r="M55" i="5"/>
  <c r="N54" i="5"/>
  <c r="M54" i="5"/>
  <c r="N53" i="5"/>
  <c r="M53" i="5"/>
  <c r="N52" i="5"/>
  <c r="M52" i="5"/>
  <c r="N51" i="5"/>
  <c r="M51" i="5"/>
  <c r="N50" i="5"/>
  <c r="M50" i="5"/>
  <c r="N49" i="5"/>
  <c r="M49" i="5"/>
  <c r="N48" i="5"/>
  <c r="M48" i="5"/>
  <c r="N46" i="5"/>
  <c r="M46" i="5"/>
  <c r="N45" i="5"/>
  <c r="M45" i="5"/>
  <c r="N44" i="5"/>
  <c r="M44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M28" i="5"/>
  <c r="M27" i="5"/>
  <c r="N26" i="5"/>
  <c r="M26" i="5"/>
  <c r="N25" i="5"/>
  <c r="M25" i="5"/>
  <c r="N24" i="5"/>
  <c r="M24" i="5"/>
  <c r="N23" i="5"/>
  <c r="M23" i="5"/>
  <c r="N21" i="5"/>
  <c r="M21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</calcChain>
</file>

<file path=xl/sharedStrings.xml><?xml version="1.0" encoding="utf-8"?>
<sst xmlns="http://schemas.openxmlformats.org/spreadsheetml/2006/main" count="9353" uniqueCount="4318">
  <si>
    <t>ООО «ПронтоТелеком»</t>
  </si>
  <si>
    <r>
      <rPr>
        <sz val="12"/>
        <color rgb="FF000000"/>
        <rFont val="Arial"/>
        <family val="2"/>
        <charset val="204"/>
      </rPr>
      <t xml:space="preserve">Адрес </t>
    </r>
    <r>
      <rPr>
        <b/>
        <sz val="12"/>
        <color rgb="FF000000"/>
        <rFont val="Arial"/>
        <family val="2"/>
        <charset val="204"/>
      </rPr>
      <t>склада</t>
    </r>
    <r>
      <rPr>
        <sz val="12"/>
        <color rgb="FF000000"/>
        <rFont val="Arial"/>
        <family val="2"/>
        <charset val="204"/>
      </rPr>
      <t>: 220073 г.Минск, ул.Ольшевского, 10; 
ул.Скрыганова, 39к8 склад 11</t>
    </r>
  </si>
  <si>
    <r>
      <rPr>
        <sz val="12"/>
        <color rgb="FF000000"/>
        <rFont val="Arial"/>
        <family val="2"/>
        <charset val="204"/>
      </rPr>
      <t xml:space="preserve">Адрес </t>
    </r>
    <r>
      <rPr>
        <b/>
        <sz val="12"/>
        <color rgb="FF000000"/>
        <rFont val="Arial"/>
        <family val="2"/>
        <charset val="204"/>
      </rPr>
      <t>офиса</t>
    </r>
    <r>
      <rPr>
        <sz val="12"/>
        <color rgb="FF000000"/>
        <rFont val="Arial"/>
        <family val="2"/>
        <charset val="204"/>
      </rPr>
      <t>: 220073 г.Минск, ул.Ольшевского, 10-232</t>
    </r>
  </si>
  <si>
    <t>Юр. адрес: 220073 г.Минск, ул.Ольшевского, 10-311</t>
  </si>
  <si>
    <t>Р/с BY75 BPSB30123434830109330000 в ОАО «Сбер Банк», г.Минск, пр. Независимости. 32А-1</t>
  </si>
  <si>
    <t>Код BPSBBY2X</t>
  </si>
  <si>
    <t>Р/с BY47MTBK30120001093300064312 в ЗАО «МТБанк», г.Минск, ул.Толстого, 10</t>
  </si>
  <si>
    <t>БИК    MTBKBY22</t>
  </si>
  <si>
    <t>УНН 191528180 ОКПО 379772445000</t>
  </si>
  <si>
    <t>тел/факс. (+375 17) 368-04-31, 368-51-60, 368-69-99, 368-35-99, 368-44-10;</t>
  </si>
  <si>
    <t>Опт-Розница</t>
  </si>
  <si>
    <t>ОПТ</t>
  </si>
  <si>
    <t>www.pronto.by</t>
  </si>
  <si>
    <t>Матиевич Оксана</t>
  </si>
  <si>
    <t>Болтушкина Алёна</t>
  </si>
  <si>
    <t xml:space="preserve">Климчук Наталья </t>
  </si>
  <si>
    <t>Ефимович Сергей Иванович</t>
  </si>
  <si>
    <t>8 029 661 89 88</t>
  </si>
  <si>
    <t xml:space="preserve"> +375447795556
8 044 721 29 27</t>
  </si>
  <si>
    <t>8 044 722 55 71</t>
  </si>
  <si>
    <t>8 029 325 76 41</t>
  </si>
  <si>
    <t xml:space="preserve">www.pronto.by </t>
  </si>
  <si>
    <t>mo@pronto.by</t>
  </si>
  <si>
    <t>ba@pronto.by</t>
  </si>
  <si>
    <t>kn@pronto.by</t>
  </si>
  <si>
    <t>es@pronto.by</t>
  </si>
  <si>
    <t>Артикул</t>
  </si>
  <si>
    <t>Ед.изм</t>
  </si>
  <si>
    <t>шт</t>
  </si>
  <si>
    <t>упак</t>
  </si>
  <si>
    <t>метр</t>
  </si>
  <si>
    <t>"Neon-Night Co., Ltd", №8 Fuxing Road, Guzhen Zhongsham City, Guangdong, Китай.</t>
  </si>
  <si>
    <t>303-030</t>
  </si>
  <si>
    <t>4601004181144</t>
  </si>
  <si>
    <t>Гирлянда светодиодная Звезды 1,5х0,6 м, прозрачный провод, теплый белый свет свечения NEON-NIGHT</t>
  </si>
  <si>
    <t xml:space="preserve"> "Fairy Light Technology Co., Ltd", №7 Fengsui Street, West District, Zhongshan, Guangdong, China</t>
  </si>
  <si>
    <t>303-034</t>
  </si>
  <si>
    <t>4601004130432</t>
  </si>
  <si>
    <t>303-035</t>
  </si>
  <si>
    <t>4601004130449</t>
  </si>
  <si>
    <t>Гирлянда светодиодная Кисточки 48 LED БЕЛЫЕ 5 метров</t>
  </si>
  <si>
    <t>"Ningbo Jia She Trading Co., Ltd", 5-5 Building 009, Shubo road No 9, Yinzhou district, Ningbo city, Zhejiang province, China</t>
  </si>
  <si>
    <t>303-032</t>
  </si>
  <si>
    <t>4601004181076</t>
  </si>
  <si>
    <t>Гирлянда светодиодная Прищепки 30 LED, 5 м, теплый белый цвет свечения NEON-NIGHT</t>
  </si>
  <si>
    <t>303-036</t>
  </si>
  <si>
    <t>4601004130456</t>
  </si>
  <si>
    <t>Гирлянда светодиодная Снежинки 20 LED БЕЛЫЕ 2,8 метра</t>
  </si>
  <si>
    <t>304-024</t>
  </si>
  <si>
    <t>4601004283541</t>
  </si>
  <si>
    <t>Гирлянда светодиодная Снежинки большие 5м, 20LED, IP20, прозрачный провод, свечение мульти (RG/RB), мигание, 230В NEON-NIGHT</t>
  </si>
  <si>
    <t>304-025</t>
  </si>
  <si>
    <t>4601004258082</t>
  </si>
  <si>
    <t>Гирлянда светодиодная универсальная 100 LED БЕЛЫЙ 10 метров, прозрачный ПВХ, с контроллером</t>
  </si>
  <si>
    <t>304-029</t>
  </si>
  <si>
    <t>4601004257962</t>
  </si>
  <si>
    <t>Гирлянда светодиодная универсальная 100 LED Мультиколор 10 метров, прозрачный ПВХ, с контроллером</t>
  </si>
  <si>
    <t>303-063</t>
  </si>
  <si>
    <t>4601004130654</t>
  </si>
  <si>
    <t>Гирлянда светодиодная универсальная 100 LED ТЕПЛЫЙ БЕЛЫЙ 10 метров, прозрачный ПВХ, с контроллером</t>
  </si>
  <si>
    <t>303-105</t>
  </si>
  <si>
    <t>4601004130487</t>
  </si>
  <si>
    <t>Гирлянда светодиодная универсальная 120 LED МУЛЬТИКОЛОР 12 метров с контроллером</t>
  </si>
  <si>
    <t>303-106</t>
  </si>
  <si>
    <t>4601004130494</t>
  </si>
  <si>
    <t>Гирлянда светодиодная универсальная 200 LED БЕЛЫЕ 20 метров, с контроллером</t>
  </si>
  <si>
    <t>304-119</t>
  </si>
  <si>
    <t>4601004258006</t>
  </si>
  <si>
    <t>Гирлянда светодиодная универсальная 200 LED Мультиколор 20 метров, с контроллером</t>
  </si>
  <si>
    <t>"Fairy Light Technology Co., Ltd", №7 Fengsui Street, West District, Zhongshan, Guangdong, China</t>
  </si>
  <si>
    <t>304-116</t>
  </si>
  <si>
    <t>4601004257986</t>
  </si>
  <si>
    <t>Гирлянда светодиодная универсальная 200 LED Теплый белый 20 метров, с контроллером</t>
  </si>
  <si>
    <t>303-109</t>
  </si>
  <si>
    <t>4601004130500</t>
  </si>
  <si>
    <t>Гирлянда светодиодная универсальная 300 LED МУЛЬТИКОЛОР 15 метров с контроллером</t>
  </si>
  <si>
    <t>303-064</t>
  </si>
  <si>
    <t>4601004130623</t>
  </si>
  <si>
    <t>Гирлянда светодиодная универсальная с насадками (шарики, снежинки, елочки) 30 LED МУЛЬТИКОЛОР, 4,4 метра с контроллером</t>
  </si>
  <si>
    <t>303-060</t>
  </si>
  <si>
    <t>4601004130579</t>
  </si>
  <si>
    <t>Гирлянда светодиодная Цветные Шарики 20 LED МУЛЬТИКОЛОР 2,8 метра</t>
  </si>
  <si>
    <t>303-038</t>
  </si>
  <si>
    <t>4601004130647</t>
  </si>
  <si>
    <t>Гирлянда светодиодная Цветы Сакуры 50 LED РОЗОВЫЕ 7 метров с контроллером</t>
  </si>
  <si>
    <t>304-023</t>
  </si>
  <si>
    <t>4601004283596</t>
  </si>
  <si>
    <t>Гирлянда светодиодная Шарики 5м, 20LED, IP20, зеленый провод, свечение мульти (RG/RB), мигание, 230В NEON-NIGHT</t>
  </si>
  <si>
    <t>304-022</t>
  </si>
  <si>
    <t>4601004283534</t>
  </si>
  <si>
    <t>Гирлянда светодиодная Шарики 5м, 20LED, IP20, прозрачный провод, свечение мульти (RG/RB), контроллер 8 режимов, 230В NEON-NIGHT</t>
  </si>
  <si>
    <t>304-021</t>
  </si>
  <si>
    <t>4601004283558</t>
  </si>
  <si>
    <t>Гирлянда светодиодная Шарики 5м, 20LED, IP20, прозрачный провод, свечение мульти (RG/RB), мигание, 230В NEON-NIGHT</t>
  </si>
  <si>
    <t>303-069</t>
  </si>
  <si>
    <t>4601004180130</t>
  </si>
  <si>
    <t>Гирлянда светодиодная Шишки 5 м, 30 LED, прозрачный ПВХ с контроллером, цвет свечения теплый белый NEON-NIGHT</t>
  </si>
  <si>
    <t>303-068</t>
  </si>
  <si>
    <t>4601004181137</t>
  </si>
  <si>
    <t>Гирлянда Сосульки 1,5х0,25 м, прозрачный провод, белый цвет свечения NEON-NIGHT</t>
  </si>
  <si>
    <t>303-067</t>
  </si>
  <si>
    <t>4601004181120</t>
  </si>
  <si>
    <t>Гирлянда Сосульки 1,5х0,25 м, прозрачный провод, теплый белый цвет свечения NEON-NIGHT</t>
  </si>
  <si>
    <t>303-066</t>
  </si>
  <si>
    <t>4601004180291</t>
  </si>
  <si>
    <t>Лофт-гирлянда светодиодная 5 м, черный ПВХ, 20 LED, теплое белое свечение NEON-NIGHT</t>
  </si>
  <si>
    <t>104-321</t>
  </si>
  <si>
    <t>4601004014312</t>
  </si>
  <si>
    <t>Присоска с крючком (10 шт)</t>
  </si>
  <si>
    <t>303-085</t>
  </si>
  <si>
    <t>4601004016606</t>
  </si>
  <si>
    <t>Гирлянда Свечи 10м, темно-зеленый ПВХ, 50 LED ТЕПЛЫЙ БЕЛЫЙ</t>
  </si>
  <si>
    <t>303-083</t>
  </si>
  <si>
    <t>4601004016583</t>
  </si>
  <si>
    <t>Гирлянда Свечи 4м, темно-зеленый ПВХ, 20 LED ТЕПЛЫЙ БЕЛЫЙ</t>
  </si>
  <si>
    <t>303-084</t>
  </si>
  <si>
    <t>4601004016590</t>
  </si>
  <si>
    <t>Гирлянда Свечи 6м, темно-зеленый ПВХ, 30 LED ТЕПЛЫЙ БЕЛЫЙ</t>
  </si>
  <si>
    <t>315-424</t>
  </si>
  <si>
    <t>4601004239609</t>
  </si>
  <si>
    <t>Удлинитель для домашних гирлянд 3 м прозрачный ПВХ</t>
  </si>
  <si>
    <t>303-097</t>
  </si>
  <si>
    <t>4601004180116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</si>
  <si>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</si>
  <si>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303-090</t>
  </si>
  <si>
    <t>4601004179998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</si>
  <si>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</si>
  <si>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303-091</t>
  </si>
  <si>
    <t>4601004180086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</si>
  <si>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</si>
  <si>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303-082</t>
  </si>
  <si>
    <t>4601004148321</t>
  </si>
  <si>
    <t>Гирлянда светодиодная Карамельки 1.5 м, прозрачный ПВХ, 10 LED, теплый белый, питание 2 х АА (батарейки не в комплекте)</t>
  </si>
  <si>
    <t>304-017</t>
  </si>
  <si>
    <t>4601004181106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</si>
  <si>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</si>
  <si>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304-015</t>
  </si>
  <si>
    <t>4601004181083</t>
  </si>
  <si>
    <t>Гирлянда светодиодная Лампочки 10 LED, 1.5 м, прозрачный ПВХ, теплый белый цвет свечения, 2 х АА (батарейки не в комплекте) NEON-NIGHT</t>
  </si>
  <si>
    <t>303-074</t>
  </si>
  <si>
    <t>4601004180017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</si>
  <si>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</si>
  <si>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304-012</t>
  </si>
  <si>
    <t>4601004181182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</si>
  <si>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</si>
  <si>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304-011</t>
  </si>
  <si>
    <t>4601004181175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</si>
  <si>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</si>
  <si>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304-005</t>
  </si>
  <si>
    <t>4601004181069</t>
  </si>
  <si>
    <t>Гирлянда светодиодная Прищепки 10 LED, 1.5 м, прозрачный ПВХ, теплый белый цвет свечения, 2 х АА (батарейки не в комплекте) NEON-NIGHT</t>
  </si>
  <si>
    <t>303-076</t>
  </si>
  <si>
    <t>4601004131972</t>
  </si>
  <si>
    <t>Гирлянда светодиодная Ретро-лампы , 3 м, ТЕПЛЫЙ БЕЛЫЙ</t>
  </si>
  <si>
    <t>303-079</t>
  </si>
  <si>
    <t>4601004131996</t>
  </si>
  <si>
    <t>Гирлянда светодиодная Ретро-лампы, 3 м, Мультиколор</t>
  </si>
  <si>
    <t>303-094</t>
  </si>
  <si>
    <t>4601004180109</t>
  </si>
  <si>
    <t>Гирлянда светодиодная Сосульки 1,5 м, 10 LED, прозрачный ПВХ, цвет свечения белый, 2 х АА (батарейки не в комплекте) NEON-NIGHT</t>
  </si>
  <si>
    <t>303-073</t>
  </si>
  <si>
    <t>4601004180277</t>
  </si>
  <si>
    <t>Гирлянда светодиодная универсальная 10 LED, 1,2 метра, прозрачный ПВХ, теплое белое свечение, батарейки 2хАА NEON-NIGHT</t>
  </si>
  <si>
    <t>303-098</t>
  </si>
  <si>
    <t>4601004180123</t>
  </si>
  <si>
    <t>Гирлянда светодиодная Шишки 1,5 м, 10 LED, прозрачный ПВХ, цвет свечения теплый белый, 2 х АА (батарейки не в комплекте) NEON-NIGHT</t>
  </si>
  <si>
    <t>303-078</t>
  </si>
  <si>
    <t>4601004180079</t>
  </si>
  <si>
    <t>Тайские фонарики Перламутр 3.5 м, 20 LED, прозрачный ПВХ, цвет свечения теплый белый NEON-NIGHT</t>
  </si>
  <si>
    <t>304-010</t>
  </si>
  <si>
    <t>4601004283961</t>
  </si>
  <si>
    <t>Тайские фонарики Перламутр 5м, 25LED, прозрачный ПВХ, цвет свечения теплый белый, питание USB NEON-NIGHT</t>
  </si>
  <si>
    <t>303-080</t>
  </si>
  <si>
    <t>4601004288034</t>
  </si>
  <si>
    <t>Гирлянда светодиодная Снежки 1,5м, прозрачный ПВХ, 10 LED, теплый белый, питание 2хАА</t>
  </si>
  <si>
    <t>303-077</t>
  </si>
  <si>
    <t>4601004180062</t>
  </si>
  <si>
    <t>Тайские фонарики Пломбир 1.5 м, 10 LED, прозрачный ПВХ, цвет свечения теплый белый, 2 х АА (батарейки не в комплекте) NEON-NIGHT</t>
  </si>
  <si>
    <t>303-089</t>
  </si>
  <si>
    <t>4601004148284</t>
  </si>
  <si>
    <t>Тайские фонарики Пудра 1,5 м, прозрачный ПВХ, 10 LED, теплый белый, питание 2 х АА (батарейки не в комплекте)</t>
  </si>
  <si>
    <t>304-001</t>
  </si>
  <si>
    <t>4601004283633</t>
  </si>
  <si>
    <t>Гирлянда светодиодная Карамельки 1,5м, 10LED, прозрачный ПВХ, теплый белый, питание USB NEON-NIGHT</t>
  </si>
  <si>
    <t>304-007</t>
  </si>
  <si>
    <t>4601004283619</t>
  </si>
  <si>
    <t>Тайские фонарики Магия 3,5м, 20LED, прозрачный ПВХ, теплый белый, питание USB NEON-NIGHT</t>
  </si>
  <si>
    <t>304-008</t>
  </si>
  <si>
    <t>4601004283626</t>
  </si>
  <si>
    <t>Тайские фонарики Вельвет 3,5м, 20 LED, прозрачный ПВХ, теплый белый, питание USB NEON-NIGHT</t>
  </si>
  <si>
    <t>304-009</t>
  </si>
  <si>
    <t>4601004283602</t>
  </si>
  <si>
    <t>Тайские фонарики Фейерверк 5м, 25LED, прозрачный ПВХ, теплый белый, питание USB NEON-NIGHT</t>
  </si>
  <si>
    <t>315-975</t>
  </si>
  <si>
    <t>4601004184169</t>
  </si>
  <si>
    <t>315-976</t>
  </si>
  <si>
    <t>4601004184176</t>
  </si>
  <si>
    <t>303-009-1</t>
  </si>
  <si>
    <t>4601004184077</t>
  </si>
  <si>
    <t>303-006</t>
  </si>
  <si>
    <t>4601004017474</t>
  </si>
  <si>
    <t>315-965</t>
  </si>
  <si>
    <t>4601004184145</t>
  </si>
  <si>
    <t>315-966</t>
  </si>
  <si>
    <t>4601004184152</t>
  </si>
  <si>
    <t>302-009</t>
  </si>
  <si>
    <t>4601004184091</t>
  </si>
  <si>
    <t>302-025</t>
  </si>
  <si>
    <t>4601004184046</t>
  </si>
  <si>
    <t>302-026</t>
  </si>
  <si>
    <t>4601004184053</t>
  </si>
  <si>
    <t>303-275</t>
  </si>
  <si>
    <t>4601004283367</t>
  </si>
  <si>
    <t>303-296</t>
  </si>
  <si>
    <t>4601004283312</t>
  </si>
  <si>
    <t>303-265</t>
  </si>
  <si>
    <t>4601004283220</t>
  </si>
  <si>
    <t>303-266</t>
  </si>
  <si>
    <t>4601004283251</t>
  </si>
  <si>
    <t>303-276</t>
  </si>
  <si>
    <t>4601004283244</t>
  </si>
  <si>
    <t>303-285</t>
  </si>
  <si>
    <t>4601004283268</t>
  </si>
  <si>
    <t>303-286</t>
  </si>
  <si>
    <t>4601004283299</t>
  </si>
  <si>
    <t>303-436</t>
  </si>
  <si>
    <t>4601004283978</t>
  </si>
  <si>
    <t>303-446</t>
  </si>
  <si>
    <t>4601004283992</t>
  </si>
  <si>
    <t>235-023</t>
  </si>
  <si>
    <t>4601004015449</t>
  </si>
  <si>
    <t>Гирлянда Светодиодный Дождь 1,5х1м, свечение с динамикой, прозрачный провод, 230 В, диоды СИНИЕ</t>
  </si>
  <si>
    <t>235-036</t>
  </si>
  <si>
    <t>4601004015418</t>
  </si>
  <si>
    <t>235-033</t>
  </si>
  <si>
    <t>4601004015401</t>
  </si>
  <si>
    <t>Гирлянда Светодиодный Дождь 1,5х1,5м, свечение с динамикой, прозрачный провод, 230 В, диоды СИНИЕ</t>
  </si>
  <si>
    <t>235-015</t>
  </si>
  <si>
    <t>4601004227323</t>
  </si>
  <si>
    <t>Гирлянда Светодиодный Дождь 1,5х1,5 м, свечение с динамикой, прозрачный провод, 230 В, диоды белые</t>
  </si>
  <si>
    <t>235-019</t>
  </si>
  <si>
    <t>4601004227347</t>
  </si>
  <si>
    <t>Гирлянда Светодиодный Дождь 1,5х1,5 м, свечение с динамикой, прозрачный провод, 230 В, диоды мультиколор</t>
  </si>
  <si>
    <t>235-055</t>
  </si>
  <si>
    <t>4601004091849</t>
  </si>
  <si>
    <t>Гирлянда Светодиодный Дождь 2,5x2м, свечение с динамикой, прозрачный провод, 230 В, диоды БЕЛЫЕ</t>
  </si>
  <si>
    <t>235-059</t>
  </si>
  <si>
    <t>4601004091863</t>
  </si>
  <si>
    <t>Гирлянда Светодиодный Дождь 2,5x2 м, свечение с динамикой, прозрачный провод, 230 В, диоды МУЛЬТИКОЛОР</t>
  </si>
  <si>
    <t>235-053</t>
  </si>
  <si>
    <t>4601004091900</t>
  </si>
  <si>
    <t>Гирлянда Светодиодный Дождь 2,5x2 м, свечение с динамикой, прозрачный провод, 230 В, диоды СИНИЕ</t>
  </si>
  <si>
    <t>235-056</t>
  </si>
  <si>
    <t>4601004091856</t>
  </si>
  <si>
    <t>Гирлянда Светодиодный Дождь 2,5x2 м, свечение с динамикой, прозрачный провод, 230 В, диоды ТЕПЛЫЙ БЕЛЫЙ</t>
  </si>
  <si>
    <t>235-065</t>
  </si>
  <si>
    <t>4601004147089</t>
  </si>
  <si>
    <t>Гирлянда Светодиодный дождь 2х3 м, свечение с динамикой, прозрачный провод, 230 В, цвет белый</t>
  </si>
  <si>
    <t>235-069</t>
  </si>
  <si>
    <t>4601004131552</t>
  </si>
  <si>
    <t>Гирлянда Светодиодный Дождь 2x3 м, свечение с динамикой, прозрачный провод, 230 В, диоды Мультиколор</t>
  </si>
  <si>
    <t>235-066</t>
  </si>
  <si>
    <t>4601004131682</t>
  </si>
  <si>
    <t>Гирлянда Светодиодный Дождь 2x3 м, свечение с динамикой, прозрачный провод, 230 В, цвет Теплый Белый</t>
  </si>
  <si>
    <t>235-005</t>
  </si>
  <si>
    <t>4601004227316</t>
  </si>
  <si>
    <t>235-092</t>
  </si>
  <si>
    <t>4601004233195</t>
  </si>
  <si>
    <t>Гирлянда Светодиодный Дождь 3х2 м, свечение с динамикой, прозрачный провод, 230 В, цвет теплый белый</t>
  </si>
  <si>
    <t>235-091</t>
  </si>
  <si>
    <t>4601004233201</t>
  </si>
  <si>
    <t>Гирлянда Светодиодный Дождь 3х2 м, свечение с динамикой, прозрачный провод, 230 В, цвет белый</t>
  </si>
  <si>
    <t>235-098</t>
  </si>
  <si>
    <t>4601004233218</t>
  </si>
  <si>
    <t>Гирлянда Светодиодный Дождь 3х2 м, свечение с динамикой, прозрачный провод, 230 В, диоды мультиколор</t>
  </si>
  <si>
    <t>235-097</t>
  </si>
  <si>
    <t>4601004227286</t>
  </si>
  <si>
    <t>315-984</t>
  </si>
  <si>
    <t>4601004252394</t>
  </si>
  <si>
    <t>315-985</t>
  </si>
  <si>
    <t>4601004227309</t>
  </si>
  <si>
    <t>Гирлянда Светодиодный дождь из росы 3х3 м, белый, USB + пульт управления NEON-NIGHT</t>
  </si>
  <si>
    <t>315-989</t>
  </si>
  <si>
    <t>4601004253483</t>
  </si>
  <si>
    <t>Гирлянда Светодиодный дождь из росы 3х3 м, мультиколор, USB + пульт управления NEON-NIGHT</t>
  </si>
  <si>
    <t>315-987</t>
  </si>
  <si>
    <t>4601004252363</t>
  </si>
  <si>
    <t>315-986</t>
  </si>
  <si>
    <t>4601004227293</t>
  </si>
  <si>
    <t>Гирлянда Светодиодный дождь из росы 3х3 м, теплый белый, USB + пульт управления NEON-NIGHT</t>
  </si>
  <si>
    <t>315-995</t>
  </si>
  <si>
    <t>4601004254862</t>
  </si>
  <si>
    <t>Гирлянда Светодиодный дождь из росы 6х3 м, белый, USB + пульт управления NEON-NIGHT</t>
  </si>
  <si>
    <t>315-996</t>
  </si>
  <si>
    <t>4601004254855</t>
  </si>
  <si>
    <t>Гирлянда Светодиодный дождь из росы 6х3 м, теплый белый, USB + пульт управления NEON-NIGHT</t>
  </si>
  <si>
    <t>315-875</t>
  </si>
  <si>
    <t>4601004283503</t>
  </si>
  <si>
    <t>Гирлянда Светодиодный дождь из росы 3х2м, белый, USB + пульт управления, с крючками для крепления NEON-NIGHT</t>
  </si>
  <si>
    <t>315-879</t>
  </si>
  <si>
    <t>4601004283794</t>
  </si>
  <si>
    <t>Гирлянда Светодиодный дождь из росы 3х2м, мультиколор, USB + пульт управления, с крючками для крепления NEON-NIGHT</t>
  </si>
  <si>
    <t>315-876</t>
  </si>
  <si>
    <t>4601004283589</t>
  </si>
  <si>
    <t>Гирлянда Светодиодный дождь из росы 3х2м, теплый белый, USB + пульт управления, с крючками для крепления NEON-NIGHT</t>
  </si>
  <si>
    <t>315-885</t>
  </si>
  <si>
    <t>4601004283510</t>
  </si>
  <si>
    <t>Гирлянда Светодиодный дождь из росы 3х3м, белый, USB + пульт управления, с крючками для крепления NEON-NIGHT</t>
  </si>
  <si>
    <t>315-886</t>
  </si>
  <si>
    <t>4601004283572</t>
  </si>
  <si>
    <t>Гирлянда Светодиодный дождь из росы 3х3м, теплый белый, USB + пульт управления, с крючками для крепления NEON-NIGHT</t>
  </si>
  <si>
    <t>315-889</t>
  </si>
  <si>
    <t>4601004308114</t>
  </si>
  <si>
    <t>Гирлянда Светодиодный занавес из росы 3х3м 300 LED МУЛЬТИКОЛОР IP20 USB + пульт управления, с крючками для крепления NEON-NIGHT</t>
  </si>
  <si>
    <t>315-849</t>
  </si>
  <si>
    <t>4601004305182</t>
  </si>
  <si>
    <t>Гирлянда Светодиодный занавес из росы с фигурами Звезд МУЛЬТИКОЛОР IP20 USB + пульт управления NEON-NIGHT</t>
  </si>
  <si>
    <t>315-846</t>
  </si>
  <si>
    <t>4601004305175</t>
  </si>
  <si>
    <t>Гирлянда Светодиодный занавес из росы с фигурами Звезд ТЕПЛЫЙ БЕЛЫЙ IP20 USB + пульт управления NEON-NIGHT</t>
  </si>
  <si>
    <t>315-845</t>
  </si>
  <si>
    <t>4601004305229</t>
  </si>
  <si>
    <t>Гирлянда Светодиодный занавес из росы с фигурами Снежинок БЕЛЫЙ IP20 USB + пульт управления NEON-NIGHT</t>
  </si>
  <si>
    <t>315-856</t>
  </si>
  <si>
    <t>4601004310186</t>
  </si>
  <si>
    <t>Гирлянда Светодиодный занавес из росы Фейерверк 3х2м 600 LED ТЕПЛЫЙ БЕЛЫЙ IP20 230В NEON-NIGHT</t>
  </si>
  <si>
    <t>315-866</t>
  </si>
  <si>
    <t>4601004310193</t>
  </si>
  <si>
    <t>Гирлянда Светодиодный занавес из росы Фейерверк 3х3м 900 LED ТЕПЛЫЙ БЕЛЫЙ IP20 230В NEON-NIGHT</t>
  </si>
  <si>
    <t>255-009</t>
  </si>
  <si>
    <t>4601004091887</t>
  </si>
  <si>
    <t>255-015</t>
  </si>
  <si>
    <t>4601004008595</t>
  </si>
  <si>
    <t>255-019</t>
  </si>
  <si>
    <t>4601004015135</t>
  </si>
  <si>
    <t>https://catalog.onliner.by/xmaslights/neonnight/neon255019</t>
  </si>
  <si>
    <t>255-013</t>
  </si>
  <si>
    <t>4601004008588</t>
  </si>
  <si>
    <t>255-075</t>
  </si>
  <si>
    <t>4601004283954</t>
  </si>
  <si>
    <t>215-129</t>
  </si>
  <si>
    <t>4601004015500</t>
  </si>
  <si>
    <t>Гирлянда Сеть 1,5х1,5м, прозрачный ПВХ, 150 LED Мультиколор</t>
  </si>
  <si>
    <t>215-126</t>
  </si>
  <si>
    <t>4601004090569</t>
  </si>
  <si>
    <t>Гирлянда Сеть 1,5х1,5м, прозрачный ПВХ, 150 LED ТЕПЛЫЙ БЕЛЫЙ</t>
  </si>
  <si>
    <t>215-135</t>
  </si>
  <si>
    <t>4601004015470</t>
  </si>
  <si>
    <t>215-139</t>
  </si>
  <si>
    <t>4601004015487</t>
  </si>
  <si>
    <t>Гирлянда Сеть 1,8х1,5м, прозрачный ПВХ, 180 LED Мультиколор</t>
  </si>
  <si>
    <t>215-133</t>
  </si>
  <si>
    <t>4601004090576</t>
  </si>
  <si>
    <t>215-136</t>
  </si>
  <si>
    <t>4601004090521</t>
  </si>
  <si>
    <t>Гирлянда Сеть 1,8х1,5м, прозрачный ПВХ, 180 LED ТЕПЛЫЙ БЕЛЫЙ</t>
  </si>
  <si>
    <t>215-119-6</t>
  </si>
  <si>
    <t>4601004009899</t>
  </si>
  <si>
    <t>Гирлянда Сеть 1х1,5м, прозрачный ПВХ, 96 LED Мультиколор</t>
  </si>
  <si>
    <t>303-169</t>
  </si>
  <si>
    <t>4601004131590</t>
  </si>
  <si>
    <t>Гирлянда Твинкл Лайт 4 м, прозрачный ПВХ, 25 LED, цвет Мультиколор</t>
  </si>
  <si>
    <t>https://catalog.onliner.by/xmaslights/neonnight/nn303169</t>
  </si>
  <si>
    <t>303-166</t>
  </si>
  <si>
    <t>4601004131583</t>
  </si>
  <si>
    <t>Гирлянда Твинкл Лайт 4 м, прозрачный ПВХ, 25 LED, цвет ТЕПЛЫЙ БЕЛЫЙ</t>
  </si>
  <si>
    <t>303-165</t>
  </si>
  <si>
    <t>4601004183353</t>
  </si>
  <si>
    <t>Гирлянда Твинкл-Лайт 4 м, 25 LED, прозрачный ПВХ, цвет свечения белый NEON-NIGHT</t>
  </si>
  <si>
    <t>303-015</t>
  </si>
  <si>
    <t>4601004015517</t>
  </si>
  <si>
    <t>Гирлянда Твинкл Лайт 4 м, темно-зеленый ПВХ, 25 LED, цвет белый</t>
  </si>
  <si>
    <t>303-019</t>
  </si>
  <si>
    <t>4601004015531</t>
  </si>
  <si>
    <t>Гирлянда Твинкл Лайт 4 м, темно-зеленый ПВХ, 25 LED, цвет мультиколор</t>
  </si>
  <si>
    <t>https://catalog.onliner.by/xmaslights/neonnight/nn303019</t>
  </si>
  <si>
    <t>303-013</t>
  </si>
  <si>
    <t>4601004090606</t>
  </si>
  <si>
    <t>Гирлянда Твинкл Лайт 4 м, темно-зеленый ПВХ, 25 LED, цвет: Синий</t>
  </si>
  <si>
    <t>303-016</t>
  </si>
  <si>
    <t>4601004015524</t>
  </si>
  <si>
    <t>Гирлянда Твинкл Лайт 4 м, темно-зеленый ПВХ, 25 LED, цвет ТЕПЛЫЙ БЕЛЫЙ</t>
  </si>
  <si>
    <t>303-175</t>
  </si>
  <si>
    <t>4601004131606</t>
  </si>
  <si>
    <t>Гирлянда Твинкл Лайт 6 м, прозрачный ПВХ, 40 LED, цвет Белый</t>
  </si>
  <si>
    <t>303-179</t>
  </si>
  <si>
    <t>4601004131620</t>
  </si>
  <si>
    <t>Гирлянда Твинкл Лайт 6 м, прозрачный ПВХ, 40 LED, цвет Мультиколор</t>
  </si>
  <si>
    <t>303-176</t>
  </si>
  <si>
    <t>4601004131613</t>
  </si>
  <si>
    <t>Гирлянда Твинкл Лайт 6 м, прозрачный ПВХ, 40 LED, цвет ТЕПЛЫЙ БЕЛЫЙ</t>
  </si>
  <si>
    <t>303-025</t>
  </si>
  <si>
    <t>4601004015548</t>
  </si>
  <si>
    <t>Гирлянда Твинкл Лайт 6 м, темно-зеленый ПВХ, 40 LED, цвет белый</t>
  </si>
  <si>
    <t>303-029</t>
  </si>
  <si>
    <t>4601004015562</t>
  </si>
  <si>
    <t>Гирлянда Твинкл Лайт 6 м, темно-зеленый ПВХ, 40 LED, цвет мультиколор</t>
  </si>
  <si>
    <t>https://catalog.onliner.by/xmaslights/neonnight/nn303029</t>
  </si>
  <si>
    <t>303-026</t>
  </si>
  <si>
    <t>4601004015555</t>
  </si>
  <si>
    <t>Гирлянда Твинкл Лайт 6 м, темно-зеленый ПВХ, 40 LED, цвет ТЕПЛЫЙ БЕЛЫЙ</t>
  </si>
  <si>
    <t>303-185</t>
  </si>
  <si>
    <t>4601004180338</t>
  </si>
  <si>
    <t>Гирлянда Твинкл-Лайт 10 м, прозрачный ПВХ, 80 LED, белое свечение NEON-NIGHT</t>
  </si>
  <si>
    <t>303-189</t>
  </si>
  <si>
    <t>4601004131644</t>
  </si>
  <si>
    <t>Гирлянда Твинкл Лайт 10 м, прозрачный ПВХ, 80 LED, цвет Мультиколор</t>
  </si>
  <si>
    <t>303-186</t>
  </si>
  <si>
    <t>4601004131637</t>
  </si>
  <si>
    <t>Гирлянда Твинкл Лайт 10 м, прозрачный ПВХ, 80 LED, цвет ТЕПЛЫЙ БЕЛЫЙ</t>
  </si>
  <si>
    <t>303-045</t>
  </si>
  <si>
    <t>4601004014961</t>
  </si>
  <si>
    <t>Гирлянда Твинкл Лайт 10 м, темно-зеленый ПВХ, 80 LED, цвет белый</t>
  </si>
  <si>
    <t>303-049</t>
  </si>
  <si>
    <t>4601004014985</t>
  </si>
  <si>
    <t>Гирлянда Твинкл Лайт 10 м, темно-зеленый ПВХ, 80 LED, цвет мультиколор</t>
  </si>
  <si>
    <t>303-043</t>
  </si>
  <si>
    <t>4601004090620</t>
  </si>
  <si>
    <t>Гирлянда Твинкл Лайт 10 м, темно-зеленый ПВХ, 80 LED, цвет: Синий</t>
  </si>
  <si>
    <t>303-046</t>
  </si>
  <si>
    <t>4601004014978</t>
  </si>
  <si>
    <t>Гирлянда Твинкл Лайт 10 м, темно-зеленый ПВХ, 80 LED, цвет ТЕПЛЫЙ БЕЛЫЙ</t>
  </si>
  <si>
    <t>https://catalog.onliner.by/xmaslights/neonnight/nn303046</t>
  </si>
  <si>
    <t>303-195</t>
  </si>
  <si>
    <t>4601004180345</t>
  </si>
  <si>
    <t>Гирлянда Твинкл-Лайт 15 м, прозрачный ПВХ, 120 LED, белое свечение NEON-NIGHT</t>
  </si>
  <si>
    <t>303-199</t>
  </si>
  <si>
    <t>4601004131668</t>
  </si>
  <si>
    <t>Гирлянда Твинкл Лайт 15 м, прозрачный ПВХ, 120 LED, цвет Мультиколор</t>
  </si>
  <si>
    <t>https://catalog.onliner.by/xmaslights/neonnight/nn303199</t>
  </si>
  <si>
    <t>303-196</t>
  </si>
  <si>
    <t>4601004131651</t>
  </si>
  <si>
    <t>Гирлянда Твинкл Лайт 15 м, прозрачный ПВХ, 120 LED, цвет ТЕПЛЫЙ БЕЛЫЙ</t>
  </si>
  <si>
    <t>303-055</t>
  </si>
  <si>
    <t>4601004015579</t>
  </si>
  <si>
    <t>Гирлянда Твинкл Лайт 15 м, темно-зеленый ПВХ, 120 LED, цвет белый</t>
  </si>
  <si>
    <t>303-059</t>
  </si>
  <si>
    <t>4601004015593</t>
  </si>
  <si>
    <t>Гирлянда Твинкл Лайт 15 м, темно-зеленый ПВХ, 120 LED, цвет мультиколор</t>
  </si>
  <si>
    <t>303-053</t>
  </si>
  <si>
    <t>4601004090637</t>
  </si>
  <si>
    <t>Гирлянда Твинкл Лайт 15 м, темно-зеленый ПВХ, 120 LED, цвет синий</t>
  </si>
  <si>
    <t>303-056</t>
  </si>
  <si>
    <t>4601004015586</t>
  </si>
  <si>
    <t>Гирлянда Твинкл Лайт 15 м, темно-зеленый ПВХ, 120 LED, цвет ТЕПЛЫЙ БЕЛЫЙ</t>
  </si>
  <si>
    <t>303-305</t>
  </si>
  <si>
    <t>4601004258020</t>
  </si>
  <si>
    <t>Гирлянда Твинкл-Лайт 20 м, прозрачный ПВХ, 160 LED, цвет белый</t>
  </si>
  <si>
    <t>303-309</t>
  </si>
  <si>
    <t>4601004258068</t>
  </si>
  <si>
    <t>Гирлянда Твинкл-Лайт 20 м, прозрачный ПВХ, 160 LED, цвет мультиколор</t>
  </si>
  <si>
    <t>303-306</t>
  </si>
  <si>
    <t>4601004258044</t>
  </si>
  <si>
    <t>Гирлянда Твинкл-Лайт 20 м, прозрачный ПВХ, 160 LED, цвет теплый белый</t>
  </si>
  <si>
    <t>303-115</t>
  </si>
  <si>
    <t>4601004148734</t>
  </si>
  <si>
    <t>Гирлянда Твинкл-Лайт 20 м, темно-зеленый ПВХ, 160 LED, цвет белый</t>
  </si>
  <si>
    <t>303-119</t>
  </si>
  <si>
    <t>4601004148628</t>
  </si>
  <si>
    <t>Гирлянда Твинкл-Лайт 20 м, темно-зеленый ПВХ, 160 LED, цвет мультиколор</t>
  </si>
  <si>
    <t>303-116</t>
  </si>
  <si>
    <t>4601004148741</t>
  </si>
  <si>
    <t>Гирлянда Твинкл-Лайт 20 м, темно-зеленый ПВХ, 160 LED, цвет теплый белый</t>
  </si>
  <si>
    <t>315-896</t>
  </si>
  <si>
    <t>4601004283527</t>
  </si>
  <si>
    <t>235-085</t>
  </si>
  <si>
    <t>4601004148666</t>
  </si>
  <si>
    <t>Елочная гирлянда с кольцом, 7 нитей по 1,8 метра, цвет диодов белый, не соединяется</t>
  </si>
  <si>
    <t>235-089</t>
  </si>
  <si>
    <t>4601004148680</t>
  </si>
  <si>
    <t>Елочная гирлянда с кольцом, 7 нитей по 1,8 метра, цвет диодов мультиколор, не соединяется</t>
  </si>
  <si>
    <t>235-086</t>
  </si>
  <si>
    <t>4601004148673</t>
  </si>
  <si>
    <t>Елочная гирлянда с кольцом, 7 нитей по 1,8 метра, цвет диодов теплый белый, не соединяется</t>
  </si>
  <si>
    <t>303-604</t>
  </si>
  <si>
    <t>4601004015067</t>
  </si>
  <si>
    <t>Гирлянда Мишура LED 3 м прозрачный ПВХ, 288 диодов, цвет зеленый</t>
  </si>
  <si>
    <t>303-602</t>
  </si>
  <si>
    <t>4601004015043</t>
  </si>
  <si>
    <t>Гирлянда Мишура LED 3 м прозрачный ПВХ, 288 диодов, цвет красный</t>
  </si>
  <si>
    <t>303-603</t>
  </si>
  <si>
    <t>4601004015036</t>
  </si>
  <si>
    <t>Гирлянда Мишура LED 3 м прозрачный ПВХ, 288 диодов, цвет синий</t>
  </si>
  <si>
    <t>303-606</t>
  </si>
  <si>
    <t>4601004090583</t>
  </si>
  <si>
    <t>Гирлянда Мишура LED 3 м прозрачный ПВХ, 288 диодов, цвет ТЕПЛЫЙ БЕЛЫЙ</t>
  </si>
  <si>
    <t>303-626</t>
  </si>
  <si>
    <t>4601004148703</t>
  </si>
  <si>
    <t>Гирлянда Кластер LED 3 м, темно-зеленый ПВХ IP20, 288 диодов, цвет теплый белый</t>
  </si>
  <si>
    <t>303-629</t>
  </si>
  <si>
    <t>4601004148710</t>
  </si>
  <si>
    <t>Гирлянда Кластер LED 3 м, темно-зеленый ПВХ IP20, 288 диодов, цвет мультиколор</t>
  </si>
  <si>
    <t>303-539</t>
  </si>
  <si>
    <t>4601004014992</t>
  </si>
  <si>
    <t>Гирлянда Шарики Ø15мм, 5м, темно-зеленый ПВХ, 30 диодов, цвет RGB</t>
  </si>
  <si>
    <t>303-549</t>
  </si>
  <si>
    <t>4601004015005</t>
  </si>
  <si>
    <t>Гирлянда Шарики Ø18мм, 5м, темно-зеленый ПВХ, 30 диодов, цвет RGB</t>
  </si>
  <si>
    <t>https://catalog.onliner.by/xmaslights/neonnight/nn303549</t>
  </si>
  <si>
    <t>131-009</t>
  </si>
  <si>
    <t>4601004311268</t>
  </si>
  <si>
    <t>Умный RGB-неон, набор 5м, USB, с пультом управления</t>
  </si>
  <si>
    <t>245-019</t>
  </si>
  <si>
    <t>4601004284036</t>
  </si>
  <si>
    <t>501-174</t>
  </si>
  <si>
    <t>4601004180666</t>
  </si>
  <si>
    <t>Декоративный светильник Балерина с конфетти, USB NEON-NIGHT</t>
  </si>
  <si>
    <t>501-173</t>
  </si>
  <si>
    <t>4601004180673</t>
  </si>
  <si>
    <t>Декоративный светильник Дельфины с конфетти, USB NEON-NIGHT</t>
  </si>
  <si>
    <t>501-186</t>
  </si>
  <si>
    <t>4601004184008</t>
  </si>
  <si>
    <t>Декоративный светильник Единорог с конфетти и мелодией, USB NEON-NIGHT</t>
  </si>
  <si>
    <t>501-163</t>
  </si>
  <si>
    <t>4601004180758</t>
  </si>
  <si>
    <t>Декоративный светильник Картина с эффектом снегопада NEON-NIGHT</t>
  </si>
  <si>
    <t>501-068</t>
  </si>
  <si>
    <t>4601004180703</t>
  </si>
  <si>
    <t>Декоративный светильник Колокольчик с эффектом снегопада NEON-NIGHT</t>
  </si>
  <si>
    <t>501-181</t>
  </si>
  <si>
    <t>4601004184183</t>
  </si>
  <si>
    <t>501-171</t>
  </si>
  <si>
    <t>4601004180628</t>
  </si>
  <si>
    <t>Декоративный светильник Маяк синий с конфетти и подсветкой, USB NEON-NIGHT</t>
  </si>
  <si>
    <t>501-166</t>
  </si>
  <si>
    <t>4601004277885</t>
  </si>
  <si>
    <t>Декоративный фонарь Паровоз с эффектом снегопада и подсветкой</t>
  </si>
  <si>
    <t>https://catalog.onliner.by/christmasdecor/neonnight/501166</t>
  </si>
  <si>
    <t>501-164</t>
  </si>
  <si>
    <t>4601004180741</t>
  </si>
  <si>
    <t>Декоративный светильник Подсвечник с эффектом снегопада NEON-NIGHT</t>
  </si>
  <si>
    <t>501-060</t>
  </si>
  <si>
    <t>4601004180680</t>
  </si>
  <si>
    <t>Декоративный светильник Сияние с конфетти, USB NEON-NIGHT</t>
  </si>
  <si>
    <t>501-064</t>
  </si>
  <si>
    <t>4601004129207</t>
  </si>
  <si>
    <t>Декоративный светильник Столик с эффектом снегопада, подсветкой и новогодней мелодией</t>
  </si>
  <si>
    <t>501-184</t>
  </si>
  <si>
    <t>4601004183995</t>
  </si>
  <si>
    <t>Декоративный светильник Фея с конфетти и мелодией, USB NEON-NIGHT</t>
  </si>
  <si>
    <t>501-162</t>
  </si>
  <si>
    <t>4601004180734</t>
  </si>
  <si>
    <t>Декоративный светильник Часы с эффектом снегопада NEON-NIGHT</t>
  </si>
  <si>
    <t>501-062</t>
  </si>
  <si>
    <t>4601004089440</t>
  </si>
  <si>
    <t>Декоративный LED-фонарь с эффектом снегопада и подсветкой Дед Мороз, теплое белое свечение NEON-NIGHT</t>
  </si>
  <si>
    <t>501-065</t>
  </si>
  <si>
    <t>4601004146594</t>
  </si>
  <si>
    <t>Декоративный фонарь с эффектом снегопада и подсветкой Рождество, белый</t>
  </si>
  <si>
    <t>501-066</t>
  </si>
  <si>
    <t>4601004146600</t>
  </si>
  <si>
    <t>Декоративный LED-фонарь с эффектом снегопада и подсветкой Санта-Клаус USB, теплое белое свечение NEON-NIGHT</t>
  </si>
  <si>
    <t>501-061</t>
  </si>
  <si>
    <t>4601004089464</t>
  </si>
  <si>
    <t>Декоративный фонарь с эффектом снегопада и подсветкой Снеговики, Белый</t>
  </si>
  <si>
    <t>501-160</t>
  </si>
  <si>
    <t>4601004308213</t>
  </si>
  <si>
    <t>Светильник декоративный (фигура) Елочный шар с эффектом снегопада и подсветкой NEON-NIGHT</t>
  </si>
  <si>
    <t>https://catalog.onliner.by/christmasdecor/neonnight/501160501160</t>
  </si>
  <si>
    <t>501-161</t>
  </si>
  <si>
    <t>4601004252356</t>
  </si>
  <si>
    <t>Декоративный фонарь с эффектом снегопада и подсветкой Новый год</t>
  </si>
  <si>
    <t>501-187</t>
  </si>
  <si>
    <t>4601004308152</t>
  </si>
  <si>
    <t>Светильник декоративный (фигура) Башня с эффектом снегопада и подсветкой NEON-NIGHT</t>
  </si>
  <si>
    <t>https://catalog.onliner.by/christmasdecor/neonnight/501187</t>
  </si>
  <si>
    <t>501-182</t>
  </si>
  <si>
    <t>4601004308176</t>
  </si>
  <si>
    <t>Светильник декоративный (фигура) Звезда с эффектом снегопада и подсветкой NEON-NIGHT</t>
  </si>
  <si>
    <t>https://catalog.onliner.by/christmasdecor/neonnight/501182</t>
  </si>
  <si>
    <t>501-185</t>
  </si>
  <si>
    <t>4601004308190</t>
  </si>
  <si>
    <t>Светильник декоративный (фигура) Телефонная будка с эффектом снегопада и подсветкой NEON-NIGHT</t>
  </si>
  <si>
    <t>https://catalog.onliner.by/christmasdecor/neonnight/501185</t>
  </si>
  <si>
    <t>501-183</t>
  </si>
  <si>
    <t>4601004308206</t>
  </si>
  <si>
    <t>Светильник декоративный (фигура) Фонарик с эффектом снегопада и подсветкой NEON-NIGHT</t>
  </si>
  <si>
    <t>https://catalog.onliner.by/christmasdecor/neonnight/501183</t>
  </si>
  <si>
    <t>513-058</t>
  </si>
  <si>
    <t>4601004279223</t>
  </si>
  <si>
    <t>Декоративный фонарь на подставке со свечкой, бронзовый корпус, размер 14,5х17х31см, цвет теплый белый</t>
  </si>
  <si>
    <t>https://catalog.onliner.by/christmasdecor/neonnight/513058</t>
  </si>
  <si>
    <t>501-145</t>
  </si>
  <si>
    <t>4601004181311</t>
  </si>
  <si>
    <t>Декоративный фонарь на солнечной батарее 14х14х24 см, черный плетеный корпус, теплый белый цвет свечения NEON-NIGHT</t>
  </si>
  <si>
    <t>501-143</t>
  </si>
  <si>
    <t>4601004181304</t>
  </si>
  <si>
    <t>Декоративный фонарь на солнечной батарее 20х20х22 см, черный плетеный корпус, теплый белый цвет свечения NEON-NIGHT</t>
  </si>
  <si>
    <t>513-052</t>
  </si>
  <si>
    <t>4601004132665</t>
  </si>
  <si>
    <t>Декоративный фонарь с лампочкой, белый корпус, размер 10,5х10,5х24 см, цвет ТЕПЛЫЙ БЕЛЫЙ</t>
  </si>
  <si>
    <t>513-053</t>
  </si>
  <si>
    <t>4601004132672</t>
  </si>
  <si>
    <t>Декоративный фонарь с лампочкой, бронзовый корпус, размер 10,5х10,5х22,5 см, цвет ТЕПЛЫЙ БЕЛЫЙ</t>
  </si>
  <si>
    <t>513-050</t>
  </si>
  <si>
    <t>4601004227422</t>
  </si>
  <si>
    <t>Декоративный фонарь с росой, белый корпус, размер 10,7х10,7х23,5 см, цвет теплый белый</t>
  </si>
  <si>
    <t>513-049</t>
  </si>
  <si>
    <t>4601004279230</t>
  </si>
  <si>
    <t>Декоративный фонарь с тремя свечами, бронзовый корпус, размер 24х24х65см, цвет теплый белый</t>
  </si>
  <si>
    <t>513-062</t>
  </si>
  <si>
    <t>4601004179677</t>
  </si>
  <si>
    <t>Декоративный фонарь с шариками 12х12х20,6 см, белый корпус, теплый белый цвет свечения NEON-NIGHT</t>
  </si>
  <si>
    <t>513-061</t>
  </si>
  <si>
    <t>4601004179660</t>
  </si>
  <si>
    <t>Декоративный фонарь с шариками 12х12х20,6 см, черный корпус, теплый белый цвет свечения NEON-NIGHT</t>
  </si>
  <si>
    <t>513-063</t>
  </si>
  <si>
    <t>4601004227439</t>
  </si>
  <si>
    <t>Декоративный фонарь с шариками, черный корпус, размер 14х14х27 см, цвет теплый белый</t>
  </si>
  <si>
    <t>513-064</t>
  </si>
  <si>
    <t>4601004179684</t>
  </si>
  <si>
    <t>Декоративный фонарь 11х11х22,5 см, черный корпус, цвет свечения RGB с эффектом мерцания NEON-NIGHT</t>
  </si>
  <si>
    <t>513-065</t>
  </si>
  <si>
    <t>4601004179691</t>
  </si>
  <si>
    <t>Декоративный фонарь 11х11х22,5 см, черный корпус, теплый белый цвет свечения с эффектом мерцания NEON-NIGHT</t>
  </si>
  <si>
    <t>513-067</t>
  </si>
  <si>
    <t>4601004179714</t>
  </si>
  <si>
    <t>Декоративный фонарь 12х12х20,6 см, белый корпус, теплый белый цвет свечения с эффектом пламени свечи NEON-NIGHT</t>
  </si>
  <si>
    <t>513-066</t>
  </si>
  <si>
    <t>4601004179707</t>
  </si>
  <si>
    <t>513-048</t>
  </si>
  <si>
    <t>4601004227415</t>
  </si>
  <si>
    <t>Декоративный фонарь со свечкой и шишкой, бронзовый корпус, размер 14x14x27 см, цвет теплый белый</t>
  </si>
  <si>
    <t>513-047</t>
  </si>
  <si>
    <t>4601004227408</t>
  </si>
  <si>
    <t>Декоративный фонарь со свечкой и шишкой, черный корпус, размер 10,7x10,7x23,5 см, цвет теплый белый</t>
  </si>
  <si>
    <t>513-043</t>
  </si>
  <si>
    <t>4601004147065</t>
  </si>
  <si>
    <t>Декоративный фонарь со свечкой, белый корпус со снежинкой, размер 12х12х18 см, цвет теплый белый</t>
  </si>
  <si>
    <t>513-054</t>
  </si>
  <si>
    <t>4601004132689</t>
  </si>
  <si>
    <t>Декоративный фонарь со свечкой, белый корпус, размер 10,5х10,5х22,35 см, цвет ТЕПЛЫЙ БЕЛЫЙ</t>
  </si>
  <si>
    <t>513-042</t>
  </si>
  <si>
    <t>4601004132702</t>
  </si>
  <si>
    <t>Декоративный фонарь со свечкой, белый корпус, размер 10,5х10,5х24 см, цвет ТЕПЛЫЙ БЕЛЫЙ</t>
  </si>
  <si>
    <t>513-046</t>
  </si>
  <si>
    <t>4601004180864</t>
  </si>
  <si>
    <t>Декоративный фонарь со свечой 14x14x29 см, белый корпус, теплый белый цвет свечения NEON-NIGHT</t>
  </si>
  <si>
    <t>513-075</t>
  </si>
  <si>
    <t>4601004280052</t>
  </si>
  <si>
    <t>Декоративный фонарь со свечкой, корпус из дерева, размер 14х14х35cм, цвет теплый белый</t>
  </si>
  <si>
    <t>513-059</t>
  </si>
  <si>
    <t>4601004279346</t>
  </si>
  <si>
    <t>Декоративный фонарь со свечкой, красный корпус, размер 10,5х10,5х24см, цвет ТЕПЛЫЙ БЕЛЫЙ</t>
  </si>
  <si>
    <t>513-041</t>
  </si>
  <si>
    <t>4601004132696</t>
  </si>
  <si>
    <t>Декоративный фонарь со свечкой, красный корпус, размер 13,5х13,5х30,5 см, цвет ТЕПЛЫЙ БЕЛЫЙ</t>
  </si>
  <si>
    <t>513-057</t>
  </si>
  <si>
    <t>4601004230576</t>
  </si>
  <si>
    <t>Декоративный фонарь со свечкой, плетеный корпус, белый, размер 14х14х16,5 см, цвет теплый белый</t>
  </si>
  <si>
    <t>513-055</t>
  </si>
  <si>
    <t>4601004147072</t>
  </si>
  <si>
    <t>Декоративный фонарь со свечкой, плетеный корпус, бронза, размер 14х14х16,5 см, цвет теплый белый</t>
  </si>
  <si>
    <t>513-051</t>
  </si>
  <si>
    <t>4601004132719</t>
  </si>
  <si>
    <t>Декоративный фонарь со свечкой, черный корпус, размер 10,5х10,5х24 см, цвет ТЕПЛЫЙ БЕЛЫЙ</t>
  </si>
  <si>
    <t>513-045</t>
  </si>
  <si>
    <t>4601004180857</t>
  </si>
  <si>
    <t>Декоративный фонарь со свечой 14x14x29 см, черный корпус, теплый белый цвет свечения NEON-NIGHT</t>
  </si>
  <si>
    <t>513-071</t>
  </si>
  <si>
    <t>4601004308183</t>
  </si>
  <si>
    <t>Фонарь декоративный (фигура) с тремя свечами, белый корпус, 24х24х40 см, теплый белый NEON-NIGHT</t>
  </si>
  <si>
    <t>https://catalog.onliner.by/christmasdecor/neonnight/513071</t>
  </si>
  <si>
    <t>511-036</t>
  </si>
  <si>
    <t>4601004151314</t>
  </si>
  <si>
    <t>Декоративный светильник Лава Ø 10х16,5 см, батарейки 3хАА (не в комплекте)</t>
  </si>
  <si>
    <t>511-037</t>
  </si>
  <si>
    <t>4601004151321</t>
  </si>
  <si>
    <t>Декоративный светильник Лава Ø 15х21 см, батарейки 3хАА (не в комплекте)</t>
  </si>
  <si>
    <t>511-029</t>
  </si>
  <si>
    <t>4601004279391</t>
  </si>
  <si>
    <t>Декоративный светильник Кубок 12,5х12,5х33см, работает от батареек 2хАА (в комплект не входят) NEON-NIGHT</t>
  </si>
  <si>
    <t>https://catalog.onliner.by/christmasdecor/neonnight/511029</t>
  </si>
  <si>
    <t>511-024</t>
  </si>
  <si>
    <t>4601004279254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</si>
  <si>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</si>
  <si>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https://catalog.onliner.by/christmasdecor/neonnight/511024</t>
  </si>
  <si>
    <t>511-002</t>
  </si>
  <si>
    <t>4601004279247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</si>
  <si>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</si>
  <si>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https://catalog.onliner.by/christmasdecor/neonnight/511002511002</t>
  </si>
  <si>
    <t>511-035</t>
  </si>
  <si>
    <t>4601004151307</t>
  </si>
  <si>
    <t>Декоративный светильник Лава Ø7,5х11 см, батарейки 3хАА (не в комплекте)</t>
  </si>
  <si>
    <t>511-004</t>
  </si>
  <si>
    <t>4601004230651</t>
  </si>
  <si>
    <t>Светодиодный камин Авангард с эффектом живого огня 30х13х30 см, батарейки 3хС (не в комплекте) или от USB (в комплекте)</t>
  </si>
  <si>
    <t>511-023</t>
  </si>
  <si>
    <t>4601004200500</t>
  </si>
  <si>
    <t>Светодиодный камин Винтаж мини с эффектом живого огня 24.8х12.7х30 см, батарейки 3хС (не в комплекте), с USB, бронзовый</t>
  </si>
  <si>
    <t>511-022</t>
  </si>
  <si>
    <t>4601004200494</t>
  </si>
  <si>
    <t>Светодиодный камин Винтаж мини с эффектом живого огня 24.8х12.7х30 см, батарейки 3хС (не в комплекте), с USB, черный</t>
  </si>
  <si>
    <t>511-032</t>
  </si>
  <si>
    <t>4601004151352</t>
  </si>
  <si>
    <t>Светодиодный камин Винтаж с эффектом живого огня 30х16х35,5 см, батарейки 3хС (не в комплекте) и USB (в комплекте)</t>
  </si>
  <si>
    <t>511-026</t>
  </si>
  <si>
    <t>4601004230644</t>
  </si>
  <si>
    <t>Светодиодный камин Волшебный фонарь с эффектом живого огня 11х11х24,5 см, батарейки 3хАА (не в комплекте)</t>
  </si>
  <si>
    <t>511-031</t>
  </si>
  <si>
    <t>4601004151369</t>
  </si>
  <si>
    <t>Светодиодный камин Кантри с эффектом живого огня 12х12х18,5 см, батарейки 3хАА (не в комплекте)</t>
  </si>
  <si>
    <t>511-030</t>
  </si>
  <si>
    <t>4601004151338</t>
  </si>
  <si>
    <t>Светодиодный камин Классика с эффектом живого огня 33х12х24 см, батарейки 3хС (не в комплекте) или от USB (в комплекте)</t>
  </si>
  <si>
    <t>513-038</t>
  </si>
  <si>
    <t>4601004180611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</si>
  <si>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</si>
  <si>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511-034</t>
  </si>
  <si>
    <t>4601004151291</t>
  </si>
  <si>
    <t>Светодиодный камин Лофт USB с эффектом живого огня 17х10х24.5 см NEON-NIGHT</t>
  </si>
  <si>
    <t>511-027</t>
  </si>
  <si>
    <t>4601004283985</t>
  </si>
  <si>
    <t>Светодиодный камин Рождество с эффектом живого огня 15х14х26см, батарейки 2хС (не в комплекте) и USB, бронзовый NEON-NIGHT</t>
  </si>
  <si>
    <t>511-033</t>
  </si>
  <si>
    <t>4601004151345</t>
  </si>
  <si>
    <t>Декоративный камин Сканди с эффектом живого огня 18х9х16 см, батарейки 3хС (не в комплекте)</t>
  </si>
  <si>
    <t>511-021</t>
  </si>
  <si>
    <t>4601004179653</t>
  </si>
  <si>
    <t>Светодиодный камин Старинные часы с эффектом живого огня 14,7x11,7x25 см, бронза, батарейки 2хС (не в комплекте) USB NEON-NIGHT</t>
  </si>
  <si>
    <t>511-020</t>
  </si>
  <si>
    <t>4601004179646</t>
  </si>
  <si>
    <t>Светодиодный камин Старинные часы с эффектом живого огня 14,7x11,7x25 см, черный, батарейки 2хС (не в комплекте) USB NEON-NIGHT</t>
  </si>
  <si>
    <t>511-038</t>
  </si>
  <si>
    <t>4601004240223</t>
  </si>
  <si>
    <t>Светодиодный камин Фьюжн с эффектом живого огня 14,7x11,7x25 см, батарейки 2хС (не в комплекте) USB, бронзовый</t>
  </si>
  <si>
    <t>511-039</t>
  </si>
  <si>
    <t>4601004179639</t>
  </si>
  <si>
    <t>Светодиодный камин Фьюжн с эффектом живого огня 14,7x11,7x25 см, батарейки 2хС (не в комплекте) USB, черный</t>
  </si>
  <si>
    <t>511-001</t>
  </si>
  <si>
    <t>4601004230668</t>
  </si>
  <si>
    <t>Светодиодный камин Хайтек с эффектом живого огня 60х10х20 см, батарейки 3хС (не в комплекте) или от USB (в комплекте)</t>
  </si>
  <si>
    <t>511-006</t>
  </si>
  <si>
    <t>4601004230637</t>
  </si>
  <si>
    <t>Светодиодный камин Шале с эффектом живого огня 30х13х28 см, батарейки 3хС (не в комплекте) или от USB (в комплекте)</t>
  </si>
  <si>
    <t>504-019</t>
  </si>
  <si>
    <t>4601004180840</t>
  </si>
  <si>
    <t>Деревянная фигура с подсветкой Домик Звездочета бирюзовая 26х7х25 см, NEON-NIGHT</t>
  </si>
  <si>
    <t>504-027</t>
  </si>
  <si>
    <t>4601004145306</t>
  </si>
  <si>
    <t>Деревянная фигура с подсветкой Звезда двойная 30х4х30 см</t>
  </si>
  <si>
    <t>504-009</t>
  </si>
  <si>
    <t>4601004180833</t>
  </si>
  <si>
    <t>Деревянная фигурка Гном с носком 15х4х17 см NEON-NIGHT</t>
  </si>
  <si>
    <t>504-004</t>
  </si>
  <si>
    <t>4601004145238</t>
  </si>
  <si>
    <t>Деревянная фигурка Гномик 17х4х15 см</t>
  </si>
  <si>
    <t>504-008</t>
  </si>
  <si>
    <t>4601004180765</t>
  </si>
  <si>
    <t>Деревянная фигурка Гномик-бородач 7x4,5x18 см NEON-NIGHT</t>
  </si>
  <si>
    <t>504-044</t>
  </si>
  <si>
    <t>4601004145283</t>
  </si>
  <si>
    <t>Деревянная фигурка Игрушечный пони белый 25х5,5х26,5 см</t>
  </si>
  <si>
    <t>504-006</t>
  </si>
  <si>
    <t>4601004145252</t>
  </si>
  <si>
    <t>Деревянная фигурка Рождественский Олень Розовый 10,5x4x18 см</t>
  </si>
  <si>
    <t>504-005</t>
  </si>
  <si>
    <t>4601004145245</t>
  </si>
  <si>
    <t>Деревянная фигурка Рождественский Олень Синий 10,5x4x18 см</t>
  </si>
  <si>
    <t>504-023</t>
  </si>
  <si>
    <t>4601004129986</t>
  </si>
  <si>
    <t>Деревянная фигурка с подсветкой Волшебный фонарик 13,8x11x11 см</t>
  </si>
  <si>
    <t>504-016</t>
  </si>
  <si>
    <t>4601004180772</t>
  </si>
  <si>
    <t>Деревянная фигурка с подсветкой Дед Мороз 18 см NEON-NIGHT</t>
  </si>
  <si>
    <t>504-024</t>
  </si>
  <si>
    <t>4601004145214</t>
  </si>
  <si>
    <t>Деревянная фигурка с подсветкой Домик в лесу 19х6х26 см</t>
  </si>
  <si>
    <t>504-028</t>
  </si>
  <si>
    <t>4601004145290</t>
  </si>
  <si>
    <t>Деревянная фигурка с подсветкой Елка на подставке 14,5х5х30 см</t>
  </si>
  <si>
    <t>504-012</t>
  </si>
  <si>
    <t>4601004129931</t>
  </si>
  <si>
    <t>Деревянная фигурка с подсветкой Елочка 11,5x5x19 см</t>
  </si>
  <si>
    <t>504-029</t>
  </si>
  <si>
    <t>4601004145313</t>
  </si>
  <si>
    <t>Деревянная фигурка с подсветкой Елочка 16х2х18 см</t>
  </si>
  <si>
    <t>504-025</t>
  </si>
  <si>
    <t>4601004145221</t>
  </si>
  <si>
    <t>Деревянная фигурка с подсветкой Елочка 20х6,5х29 см</t>
  </si>
  <si>
    <t>504-002</t>
  </si>
  <si>
    <t>4601004129894</t>
  </si>
  <si>
    <t>Деревянная фигурка с подсветкой Елочка с оленем 12x6x21,5 см</t>
  </si>
  <si>
    <t>504-022</t>
  </si>
  <si>
    <t>4601004129993</t>
  </si>
  <si>
    <t>Деревянная фигурка с подсветкой Звездочка 24x13x3,6 см</t>
  </si>
  <si>
    <t>504-021</t>
  </si>
  <si>
    <t>4601004130005</t>
  </si>
  <si>
    <t>Деревянная фигурка с подсветкой Рождественская сказка 44,5x6x24 см</t>
  </si>
  <si>
    <t>504-007</t>
  </si>
  <si>
    <t>4601004145269</t>
  </si>
  <si>
    <t>Деревянная фигурка с подсветкой Рождественский олень 11х5х47 см</t>
  </si>
  <si>
    <t>504-026</t>
  </si>
  <si>
    <t>4601004145276</t>
  </si>
  <si>
    <t>Деревянная фигурка с подсветкой Семейство оленей 30х5х15,7 см</t>
  </si>
  <si>
    <t>504-017</t>
  </si>
  <si>
    <t>4601004180789</t>
  </si>
  <si>
    <t>Деревянная фигурка с подсветкой Снеговик 18 см NEON-NIGHT</t>
  </si>
  <si>
    <t>504-032</t>
  </si>
  <si>
    <t>4601004180802</t>
  </si>
  <si>
    <t>Деревянные прищепки Елочки 14,5x4,5x1,6 cм, 6 шт, розовые NEON-NIGHT</t>
  </si>
  <si>
    <t>504-033</t>
  </si>
  <si>
    <t>4601004180819</t>
  </si>
  <si>
    <t>Деревянные прищепки Звездочки 16x4,5x1,3 cм, бирюзовые 6 шт, NEON-NIGHT</t>
  </si>
  <si>
    <t>504-034</t>
  </si>
  <si>
    <t>4601004180826</t>
  </si>
  <si>
    <t>Деревянные прищепки Звездочки 16x4,5x1,3 cм, розовые, 6 шт, NEON-NIGHT</t>
  </si>
  <si>
    <t>504-031</t>
  </si>
  <si>
    <t>4601004180796</t>
  </si>
  <si>
    <t>Деревянные прищепки Новогодняя ель 14,5x4,5x1,6 cм, 6 шт, NEON-NIGHT</t>
  </si>
  <si>
    <t>505-029</t>
  </si>
  <si>
    <t>4601004146419</t>
  </si>
  <si>
    <t>Керамическая фигурка Дед Мороз в санях 30,5х12,2х17,2 см</t>
  </si>
  <si>
    <t>505-012</t>
  </si>
  <si>
    <t>4601004146471</t>
  </si>
  <si>
    <t>Керамическая фигурка Дед Мороз на коне 35х15х39,8 см</t>
  </si>
  <si>
    <t>505-022</t>
  </si>
  <si>
    <t>4601004131118</t>
  </si>
  <si>
    <t>Керамическая фигурка Домик 8x7x11 см</t>
  </si>
  <si>
    <t>505-007</t>
  </si>
  <si>
    <t>4601004146440</t>
  </si>
  <si>
    <t>Керамическая фигурка Домик со снеговиком 26,2х9,5х23,3 см</t>
  </si>
  <si>
    <t>505-024</t>
  </si>
  <si>
    <t>4601004146433</t>
  </si>
  <si>
    <t>Керамическая фигурка Мальчик с подвесными ножками 6,6х5,5х9,5 см</t>
  </si>
  <si>
    <t>505-009</t>
  </si>
  <si>
    <t>4601004131057</t>
  </si>
  <si>
    <t>Керамическая фигурка Снегурочка на шаре 9x8x16 см</t>
  </si>
  <si>
    <t>501-070</t>
  </si>
  <si>
    <t>4601004146501</t>
  </si>
  <si>
    <t>Керамический подсвечник Паровоз 17,1х7,1х14,7 см</t>
  </si>
  <si>
    <t>501-074</t>
  </si>
  <si>
    <t>4601004146549</t>
  </si>
  <si>
    <t>Керамический подсвечник Свечка 12,5х6х19,3 см</t>
  </si>
  <si>
    <t>501-019</t>
  </si>
  <si>
    <t>4601004230620</t>
  </si>
  <si>
    <t>Фигура светодиодная Снежинка на присоске с подвесом, цвет белый</t>
  </si>
  <si>
    <t>501-015</t>
  </si>
  <si>
    <t>4601004014268</t>
  </si>
  <si>
    <t>Фигура светодиодная Ангелок на присоске с подвесом, цвет ТЕПЛЫЙ БЕЛЫЙ</t>
  </si>
  <si>
    <t>501-017</t>
  </si>
  <si>
    <t>4601004014282</t>
  </si>
  <si>
    <t>Фигура светодиодная Елочка на присоске с подвесом, цвет зеленый</t>
  </si>
  <si>
    <t>501-011</t>
  </si>
  <si>
    <t>4601004014305</t>
  </si>
  <si>
    <t>Фигура светодиодная Звездочка на присоске с подвесом, цвет ТЕПЛЫЙ БЕЛЫЙ</t>
  </si>
  <si>
    <t>501-012</t>
  </si>
  <si>
    <t>4601004014237</t>
  </si>
  <si>
    <t>Фигура светодиодная Колокольчик на присоске с подвесом, цвет ТЕПЛЫЙ БЕЛЫЙ</t>
  </si>
  <si>
    <t>501-014</t>
  </si>
  <si>
    <t>4601004014251</t>
  </si>
  <si>
    <t>Фигура светодиодная Месяц на присоске с подвесом, цвет ТЕПЛЫЙ БЕЛЫЙ</t>
  </si>
  <si>
    <t>501-016</t>
  </si>
  <si>
    <t>4601004014275</t>
  </si>
  <si>
    <t>Фигура светодиодная Олененок на присоске с подвесом, цвет белый</t>
  </si>
  <si>
    <t>501-018</t>
  </si>
  <si>
    <t>4601004014299</t>
  </si>
  <si>
    <t>Фигура светодиодная Санта Клаус на присоске с подвесом, цвет белый</t>
  </si>
  <si>
    <t>501-013</t>
  </si>
  <si>
    <t>4601004014244</t>
  </si>
  <si>
    <t>Фигура светодиодная Снеговик на присоске с подвесом, цвет белый</t>
  </si>
  <si>
    <t>501-057</t>
  </si>
  <si>
    <t>4601004310292</t>
  </si>
  <si>
    <t>Светодиодная подвесная фигура Звезда на металлическом каркасе, цвет теплый белый NEON-NIGHT</t>
  </si>
  <si>
    <t>https://catalog.onliner.by/christmasdecor/neonnight/501057501057</t>
  </si>
  <si>
    <t>501-056</t>
  </si>
  <si>
    <t>4601004310285</t>
  </si>
  <si>
    <t>Светодиодная подвесная фигура Снежинка на металлическом каркасе, цвет теплый белый NEON-NIGHT</t>
  </si>
  <si>
    <t>https://catalog.onliner.by/christmasdecor/neonnight/501056501056</t>
  </si>
  <si>
    <t>501-044</t>
  </si>
  <si>
    <t>4601004034693</t>
  </si>
  <si>
    <t>Фигура светодиодная на подставке Ангел 2D, RGB</t>
  </si>
  <si>
    <t>501-045</t>
  </si>
  <si>
    <t>4601004034709</t>
  </si>
  <si>
    <t>Фигура светодиодная на подставке Елочка 2D, RGB</t>
  </si>
  <si>
    <t>513-022</t>
  </si>
  <si>
    <t>4601004016545</t>
  </si>
  <si>
    <t>Фигура светодиодная Елочка, 15 см, RGB</t>
  </si>
  <si>
    <t>513-023</t>
  </si>
  <si>
    <t>4601004016552</t>
  </si>
  <si>
    <t>Фигура светодиодная Елочка, 20 см, RGB</t>
  </si>
  <si>
    <t>513-024</t>
  </si>
  <si>
    <t>4601004016569</t>
  </si>
  <si>
    <t>Фигура светодиодная Елочка, 25 см, RGB</t>
  </si>
  <si>
    <t>501-051</t>
  </si>
  <si>
    <t>4601004089457</t>
  </si>
  <si>
    <t>Фигура светодиодная на подставке Ёлочка Кристалл, RGB</t>
  </si>
  <si>
    <t>501-041</t>
  </si>
  <si>
    <t>4601004034662</t>
  </si>
  <si>
    <t>Фигура светодиодная на подставке Елочка маленькая, RGB</t>
  </si>
  <si>
    <t>501-048</t>
  </si>
  <si>
    <t>4601004034730</t>
  </si>
  <si>
    <t>Фигура светодиодная на подставке Елочка средняя, RGB</t>
  </si>
  <si>
    <t>501-047</t>
  </si>
  <si>
    <t>4601004034723</t>
  </si>
  <si>
    <t>Фигура светодиодная на подставке Мишка 2D, RGB</t>
  </si>
  <si>
    <t>501-052</t>
  </si>
  <si>
    <t>4601004089402</t>
  </si>
  <si>
    <t>Фигура светодиодная на подставке Пингвин Кристалл, RGB</t>
  </si>
  <si>
    <t>501-040</t>
  </si>
  <si>
    <t>4601004034655</t>
  </si>
  <si>
    <t>Фигура светодиодная на подставке Санта Клаус, RGB</t>
  </si>
  <si>
    <t>501-043</t>
  </si>
  <si>
    <t>4601004034686</t>
  </si>
  <si>
    <t>Фигура светодиодная на подставке Снеговик в шляпе 2D, RGB</t>
  </si>
  <si>
    <t>501-054</t>
  </si>
  <si>
    <t>4601004089426</t>
  </si>
  <si>
    <t>Фигура светодиодная на подставке Снеговик с подарком 2D, RGB</t>
  </si>
  <si>
    <t>501-053</t>
  </si>
  <si>
    <t>4601004089419</t>
  </si>
  <si>
    <t>Фигура светодиодная на подставке Снеговик с шарфом 2D, RGB</t>
  </si>
  <si>
    <t>501-055</t>
  </si>
  <si>
    <t>4601004089433</t>
  </si>
  <si>
    <t>Фигура светодиодная на подставке Снежинка, RGB</t>
  </si>
  <si>
    <t>513-032</t>
  </si>
  <si>
    <t>4601004129184</t>
  </si>
  <si>
    <t>Фигура на подставке Елочка 25 см</t>
  </si>
  <si>
    <t>513-026</t>
  </si>
  <si>
    <t>4601004129191</t>
  </si>
  <si>
    <t>Фигура на подставке Елочка со звездой 37 см</t>
  </si>
  <si>
    <t>513-706</t>
  </si>
  <si>
    <t>4601004305113</t>
  </si>
  <si>
    <t>Металлическая 3D-фигура Звезда 35см, цвет свечения теплый белый, питание 3хAA (не в комплекте) NEON-NIGHT</t>
  </si>
  <si>
    <t>https://catalog.onliner.by/xmaslights/neonnight/513706513706</t>
  </si>
  <si>
    <t>513-027</t>
  </si>
  <si>
    <t>4601004303942</t>
  </si>
  <si>
    <t>Фигура на подставке Елочка со звездой, 37см, теплый белый NEON-NIGHT</t>
  </si>
  <si>
    <t>https://catalog.onliner.by/christmasdecor/neonnight/513027513027</t>
  </si>
  <si>
    <t>513-033</t>
  </si>
  <si>
    <t>4601004129221</t>
  </si>
  <si>
    <t>Фигура на подставке Ель 51 см</t>
  </si>
  <si>
    <t>501-003</t>
  </si>
  <si>
    <t>4601004130685</t>
  </si>
  <si>
    <t>Фигура светодиодная С НОВЫМ ГОДОМ 35 LED КРАСНЫЕ 42x19 см</t>
  </si>
  <si>
    <t>501-004</t>
  </si>
  <si>
    <t>4601004281332</t>
  </si>
  <si>
    <t>Фигура светодиодная С НОВЫМ ГОДОМ 35LED, цвет свечения МУЛЬТИКОЛОР (RG/RB), размер 42x19см</t>
  </si>
  <si>
    <t>513-019</t>
  </si>
  <si>
    <t>4601004015616</t>
  </si>
  <si>
    <t>Фигура светодиодная Снеговик 10см, RGB</t>
  </si>
  <si>
    <t>513-018</t>
  </si>
  <si>
    <t>4601004091924</t>
  </si>
  <si>
    <t>Фигура светодиодная Снеговик 17см, RGB</t>
  </si>
  <si>
    <t>513-014</t>
  </si>
  <si>
    <t>4601004131965</t>
  </si>
  <si>
    <t>Фигура светодиодная Снежок RGB, 14 см</t>
  </si>
  <si>
    <t>513-012</t>
  </si>
  <si>
    <t>4601004131958</t>
  </si>
  <si>
    <t>Фигура светодиодная Снежок, RGB, 10 см</t>
  </si>
  <si>
    <t>513-011</t>
  </si>
  <si>
    <t>4601004131989</t>
  </si>
  <si>
    <t>Фигура светодиодная Снежок, RGB, 8 см</t>
  </si>
  <si>
    <t>601-251</t>
  </si>
  <si>
    <t>4601004015784</t>
  </si>
  <si>
    <t>Диско-лампа светодиодная e27, подставка с цоколем e27 в комплекте, 230 В</t>
  </si>
  <si>
    <t>701-251</t>
  </si>
  <si>
    <t>4601004267718</t>
  </si>
  <si>
    <t>601-252</t>
  </si>
  <si>
    <t>4601004015791</t>
  </si>
  <si>
    <t>Диско-лампа светодиодная в компактном корпусе, 230 В</t>
  </si>
  <si>
    <t>601-256</t>
  </si>
  <si>
    <t>4601004147102</t>
  </si>
  <si>
    <t>Диско-лампа Летающая тарелка 36LED, 230 В</t>
  </si>
  <si>
    <t>601-526</t>
  </si>
  <si>
    <t>4601004305106</t>
  </si>
  <si>
    <t>Диско-шар (ночник-проектор) светодиодный с дистанционным управлением, USB NEON-NIGHT</t>
  </si>
  <si>
    <t>https://catalog.onliner.by/xmaslights/neonnight/601526601526</t>
  </si>
  <si>
    <t>601-267</t>
  </si>
  <si>
    <t>4601004180604</t>
  </si>
  <si>
    <t>LED проектор Звездное небо с пультом, 220 В NEON-NIGHT</t>
  </si>
  <si>
    <t>601-268</t>
  </si>
  <si>
    <t>4601004180994</t>
  </si>
  <si>
    <t>LED проектор Звезды 220 В NEON-NIGHT</t>
  </si>
  <si>
    <t>601-262</t>
  </si>
  <si>
    <t>4601004096325</t>
  </si>
  <si>
    <t>LED проектор, 12 сменных слайдов, цвет RGBW, 12В</t>
  </si>
  <si>
    <t>601-263</t>
  </si>
  <si>
    <t>4601004096332</t>
  </si>
  <si>
    <t>LED проектор, белые снежинки, 230В</t>
  </si>
  <si>
    <t>601-261</t>
  </si>
  <si>
    <t>4601004093379</t>
  </si>
  <si>
    <t>Лазерный проектор NEON-NIGHT с пультом управления, различные режимы проекции, 230 В, трансформатор на 3,6 В</t>
  </si>
  <si>
    <t>601-291</t>
  </si>
  <si>
    <t>4601004180352</t>
  </si>
  <si>
    <t>Лазерный проектор Метеоритный дождь с пультом ДУ NEON-NIGHT</t>
  </si>
  <si>
    <t>601-264</t>
  </si>
  <si>
    <t>4601004149281</t>
  </si>
  <si>
    <t>Лазерный проектор с эффектом Северное сияние с пультом ДУ, 220 В</t>
  </si>
  <si>
    <t>601-525</t>
  </si>
  <si>
    <t>4601004252790</t>
  </si>
  <si>
    <t>Светодиодный ночник-проектор Melony</t>
  </si>
  <si>
    <t>503-059</t>
  </si>
  <si>
    <t>4601004251847</t>
  </si>
  <si>
    <t>503-853</t>
  </si>
  <si>
    <t>4601004252806</t>
  </si>
  <si>
    <t>Светодиодный светильник Portal</t>
  </si>
  <si>
    <t>503-003</t>
  </si>
  <si>
    <t>4601004148918</t>
  </si>
  <si>
    <t>Силиконовый ночник Единорог USB с 3 режимами, RGB-свечение NEON-NIGHT</t>
  </si>
  <si>
    <t>503-001</t>
  </si>
  <si>
    <t>4601004148895</t>
  </si>
  <si>
    <t>Силиконовый ночник Котик USB с 3 режимами, RGB-свечение NEON-NIGHT</t>
  </si>
  <si>
    <t>503-006</t>
  </si>
  <si>
    <t>4601004173507</t>
  </si>
  <si>
    <t>Силиконовый ночник Кошачья лапа бирюзовый NEON-NIGHT</t>
  </si>
  <si>
    <t>503-005</t>
  </si>
  <si>
    <t>4601004173491</t>
  </si>
  <si>
    <t>Силиконовый ночник Кошачья лапа розовый NEON-NIGHT</t>
  </si>
  <si>
    <t>503-004</t>
  </si>
  <si>
    <t>4601004173514</t>
  </si>
  <si>
    <t>Силиконовый ночник Лебедь NEON-NIGHT</t>
  </si>
  <si>
    <t>503-009</t>
  </si>
  <si>
    <t>4601004251854</t>
  </si>
  <si>
    <t>Силиконовый ночник Медведь</t>
  </si>
  <si>
    <t>503-002</t>
  </si>
  <si>
    <t>4601004148901</t>
  </si>
  <si>
    <t>Силиконовый ночник Медвежонок</t>
  </si>
  <si>
    <t>503-008</t>
  </si>
  <si>
    <t>4601004200616</t>
  </si>
  <si>
    <t>Силиконовый ночник Панда</t>
  </si>
  <si>
    <t>503-018</t>
  </si>
  <si>
    <t>4601004224940</t>
  </si>
  <si>
    <t>Силиконовый ночник Шарк</t>
  </si>
  <si>
    <t>503-007</t>
  </si>
  <si>
    <t>4601004200609</t>
  </si>
  <si>
    <t>Силиконовый ночник Щенок</t>
  </si>
  <si>
    <t>501-081</t>
  </si>
  <si>
    <t>4601004091894</t>
  </si>
  <si>
    <t>Новогодняя горка 7 свечек, цвет корпуса: Белый, цвет свечения: ТЕПЛЫЙ БЕЛЫЙ</t>
  </si>
  <si>
    <t>501-082</t>
  </si>
  <si>
    <t>4601004091917</t>
  </si>
  <si>
    <t>Новогодняя горка 7 свечек, цвет корпуса: Красный, цвет свечения: ТЕПЛЫЙ БЕЛЫЙ</t>
  </si>
  <si>
    <t>513-034</t>
  </si>
  <si>
    <t>4601004129177</t>
  </si>
  <si>
    <t>Фигура на подставке Подсвечник со свечками 50 см</t>
  </si>
  <si>
    <t>513-341</t>
  </si>
  <si>
    <t>4601004003477</t>
  </si>
  <si>
    <t>Акриловая светодиодная фигура Белка 17,5х12х18 см, 4,5 В, 3 батарейки AAA (не входят в комплект), 12 светодиодов NEON-NIGHT</t>
  </si>
  <si>
    <t>513-247</t>
  </si>
  <si>
    <t>4601004003217</t>
  </si>
  <si>
    <t>Акриловая светодиодная фигура Белый мишка 20 см, 4,5 В, 3 батарейки AA (не входят в комплект), 20 светодиодов NEON-NIGHT</t>
  </si>
  <si>
    <t>513-316</t>
  </si>
  <si>
    <t>4601004180192</t>
  </si>
  <si>
    <t>Акриловая светодиодная фигура Лисенок 28х15х26 см, батарейки 2хAA (не входят в комплект), 30 светодиодов NEON-NIGHT</t>
  </si>
  <si>
    <t>513-315</t>
  </si>
  <si>
    <t>4601004003491</t>
  </si>
  <si>
    <t>Акриловая светодиодная фигура Медведь 34,5х12х17 см, 4,5 В, 3 батарейки AA (не входят в комплект), 24 светодиода NEON-NIGHT</t>
  </si>
  <si>
    <t>513-311</t>
  </si>
  <si>
    <t>4601004003446</t>
  </si>
  <si>
    <t>Акриловая светодиодная фигура Медвежонок 12х22х13 см, 4,5 В, 3 батарейки AA (не входят в комплект), 10 светодиодов NEON-NIGHT</t>
  </si>
  <si>
    <t>513-401</t>
  </si>
  <si>
    <t>4601004016989</t>
  </si>
  <si>
    <t>Акриловая светодиодная фигура Овца 30см, 56 светодиодов, IP65, 24В NEON-NIGHT</t>
  </si>
  <si>
    <t>513-321</t>
  </si>
  <si>
    <t>4601004003484</t>
  </si>
  <si>
    <t>Акриловая светодиодная фигура Оленёнок 30х14х35 см, 4,5 В, 3 батарейки AA (не входят в комплект), 40 светодиодов NEON-NIGHT</t>
  </si>
  <si>
    <t>513-314</t>
  </si>
  <si>
    <t>4601004180185</t>
  </si>
  <si>
    <t>Акриловая светодиодная фигура Олененок в шарфе 20х17х30 см, 24 светодиода, батарейки 2хAA (не входят в комплект) NEON-NIGHT</t>
  </si>
  <si>
    <t>513-323</t>
  </si>
  <si>
    <t>4601004180154</t>
  </si>
  <si>
    <t>Акриловая светодиодная фигура Пингвиненок 19х14,5х25 см, 20 светодиодов, батарейки 2хAA (не входят в комплект) NEON-NIGHT</t>
  </si>
  <si>
    <t>513-273</t>
  </si>
  <si>
    <t>4601004003347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</si>
  <si>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</si>
  <si>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513-270</t>
  </si>
  <si>
    <t>4601004003323</t>
  </si>
  <si>
    <t>Акриловая светодиодная фигура Северный олень 45 см, 100 светодиодов, IP65, понижающий трансформатор в комплекте NEON-NIGHT</t>
  </si>
  <si>
    <t>513-346</t>
  </si>
  <si>
    <t>4601004180246</t>
  </si>
  <si>
    <t>Акриловая светодиодная фигура Семья снегирей 16х9х13 см, 40 LED, IP20, 3хАА NEON-NIGHT</t>
  </si>
  <si>
    <t>501-034</t>
  </si>
  <si>
    <t>4601004129269</t>
  </si>
  <si>
    <t>Елочка RGB на присоске 10x7x3 см</t>
  </si>
  <si>
    <t>https://catalog.onliner.by/christmasdecor/neonnight/nn501034</t>
  </si>
  <si>
    <t>501-024</t>
  </si>
  <si>
    <t>4601004016538</t>
  </si>
  <si>
    <t>Олень RGB на присоске</t>
  </si>
  <si>
    <t>501-023</t>
  </si>
  <si>
    <t>4601004016521</t>
  </si>
  <si>
    <t>Санта Клаус RGB на присоске</t>
  </si>
  <si>
    <t>501-021</t>
  </si>
  <si>
    <t>4601004016507</t>
  </si>
  <si>
    <t>Снеговик на снежинке RGB на присоске</t>
  </si>
  <si>
    <t>501-022</t>
  </si>
  <si>
    <t>4601004016514</t>
  </si>
  <si>
    <t>Снеговик с подарком RGB на присоске</t>
  </si>
  <si>
    <t>501-005</t>
  </si>
  <si>
    <t>4601004283657</t>
  </si>
  <si>
    <t>Верхушка на елку Звезда 20см, цвет красный NEON-NIGHT</t>
  </si>
  <si>
    <t>501-006</t>
  </si>
  <si>
    <t>4601004283640</t>
  </si>
  <si>
    <t>Светодиодная фигура на елку Звезда 22см, цвет свечения теплый белый, постоянное свечение, 230В NEON-NIGHT</t>
  </si>
  <si>
    <t>501-007</t>
  </si>
  <si>
    <t>4601004283671</t>
  </si>
  <si>
    <t>Светодиодная фигура на елку Звезда красная 15см, 10LED, постоянное свечение, 230В NEON-NIGHT</t>
  </si>
  <si>
    <t>501-002</t>
  </si>
  <si>
    <t>4601004130692</t>
  </si>
  <si>
    <t>Фигура светодиодная Звезда на елку цвет: RGB, 10 LED, 17 см</t>
  </si>
  <si>
    <t>501-001</t>
  </si>
  <si>
    <t>4601004130708</t>
  </si>
  <si>
    <t>Фигура светодиодная Звезда на елку цвет: RGB, 31 LED, 22 см</t>
  </si>
  <si>
    <t>307-121</t>
  </si>
  <si>
    <t>4601004090477</t>
  </si>
  <si>
    <t>Гирлянда еловая белоснежная 2,7м, диаметр 36см NEON-NIGHT</t>
  </si>
  <si>
    <t>307-211</t>
  </si>
  <si>
    <t>4601004004009</t>
  </si>
  <si>
    <t>Гирлянда еловая 2,7м, диаметр 36см NEON-NIGHT</t>
  </si>
  <si>
    <t>307-221</t>
  </si>
  <si>
    <t>4601004004016</t>
  </si>
  <si>
    <t>Гирлянда еловая с шишками 2,7м, диаметр 36см, ПВХ NEON-NIGHT</t>
  </si>
  <si>
    <t>307-115</t>
  </si>
  <si>
    <t>4601004012868</t>
  </si>
  <si>
    <t>Еловый шлейф 2,7м, диаметр 41см, теплое белое свечение 80 LED NEON-NIGHT</t>
  </si>
  <si>
    <t>307-213</t>
  </si>
  <si>
    <t>4601004132757</t>
  </si>
  <si>
    <t>Еловый шлейф 2,7м, диаметр 30см, ветки литые NEON-NIGHT</t>
  </si>
  <si>
    <t>307-214</t>
  </si>
  <si>
    <t>4601004311275</t>
  </si>
  <si>
    <t>Гирлянда еловая 2,7м, диаметр 20см, ветки ПВХ</t>
  </si>
  <si>
    <t>307-141</t>
  </si>
  <si>
    <t>4601004090392</t>
  </si>
  <si>
    <t>Еловый венок NEON-NIGHT Ø 30 см, ПВХ</t>
  </si>
  <si>
    <t>307-142</t>
  </si>
  <si>
    <t>4601004090408</t>
  </si>
  <si>
    <t>Еловый венок NEON-NIGHT Ø 45см, ПВХ</t>
  </si>
  <si>
    <t>307-143</t>
  </si>
  <si>
    <t>4601004090415</t>
  </si>
  <si>
    <t>Еловый венок NEON-NIGHT Ø 60см, ПВХ</t>
  </si>
  <si>
    <t>307-145</t>
  </si>
  <si>
    <t>4601004180888</t>
  </si>
  <si>
    <t>Еловый венок NEON-NIGHT Ø 90 см, ПВХ</t>
  </si>
  <si>
    <t>307-144</t>
  </si>
  <si>
    <t>4601004090422</t>
  </si>
  <si>
    <t>Еловый венок с шишками NEON-NIGHT Ø 45см, Литой</t>
  </si>
  <si>
    <t>307-149</t>
  </si>
  <si>
    <t>4601004180925</t>
  </si>
  <si>
    <t>Еловый венок с ягодами NEON-NIGHT Ø 45 см, литой</t>
  </si>
  <si>
    <t>307-146</t>
  </si>
  <si>
    <t>4601004180895</t>
  </si>
  <si>
    <t>Заснеженный еловый венок NEON-NIGHT Ø 30 см, ПВХ</t>
  </si>
  <si>
    <t>307-147</t>
  </si>
  <si>
    <t>4601004180901</t>
  </si>
  <si>
    <t>Заснеженный еловый венок NEON-NIGHT Ø 45 см, ПВХ</t>
  </si>
  <si>
    <t>533-331</t>
  </si>
  <si>
    <t>4601004090439</t>
  </si>
  <si>
    <t>Елочка 30см в плетеном мешочке, ПВХ</t>
  </si>
  <si>
    <t>533-334</t>
  </si>
  <si>
    <t>4601004090460</t>
  </si>
  <si>
    <t>Елочка 45см в пластиковом горшке, Литая</t>
  </si>
  <si>
    <t>533-332</t>
  </si>
  <si>
    <t>4601004090446</t>
  </si>
  <si>
    <t>Елочка 45см в плетеном мешочке, ПВХ</t>
  </si>
  <si>
    <t>533-333</t>
  </si>
  <si>
    <t>4601004090453</t>
  </si>
  <si>
    <t>Елочка 60см в плетеном мешочке, ПВХ</t>
  </si>
  <si>
    <t>533-325</t>
  </si>
  <si>
    <t>4601004012837</t>
  </si>
  <si>
    <t>Елочка высота 30см, питание от USB, зеленая</t>
  </si>
  <si>
    <t>131-011-1</t>
  </si>
  <si>
    <t>4601004172937</t>
  </si>
  <si>
    <t>Набор для создания неоновых фигур NEON-NIGHT Креатив 120 LED, 1 м, желтый</t>
  </si>
  <si>
    <t>131-014-1</t>
  </si>
  <si>
    <t>4601004172968</t>
  </si>
  <si>
    <t>Набор для создания неоновых фигур NEON-NIGHT Креатив 120 LED, 1 м, зеленый</t>
  </si>
  <si>
    <t>131-017-1</t>
  </si>
  <si>
    <t>4601004172951</t>
  </si>
  <si>
    <t>Набор для создания неоновых фигур NEON-NIGHT Креатив 120 LED, 1 м, розовый</t>
  </si>
  <si>
    <t>131-021-1</t>
  </si>
  <si>
    <t>4601004172975</t>
  </si>
  <si>
    <t>Набор для создания неоновых фигур NEON-NIGHT Креатив 180 LED, 1.5 м, желтый</t>
  </si>
  <si>
    <t>131-034-1</t>
  </si>
  <si>
    <t>4601004227378</t>
  </si>
  <si>
    <t>Набор для создания неоновых фигур NEON-NIGHT Креатив 240 LED, 2 м, цвет зеленый</t>
  </si>
  <si>
    <t>131-004-1</t>
  </si>
  <si>
    <t>4601004172920</t>
  </si>
  <si>
    <t>Набор для создания неоновых фигур NEON-NIGHT Креатив 90 LED, 0.75 м, зеленый</t>
  </si>
  <si>
    <t>131-007-1</t>
  </si>
  <si>
    <t>4601004172913</t>
  </si>
  <si>
    <t>Набор для создания неоновых фигур NEON-NIGHT Креатив 90 LED, 0.75 м, розовый</t>
  </si>
  <si>
    <t>131-003-1</t>
  </si>
  <si>
    <t>4601004172906</t>
  </si>
  <si>
    <t>Набор для создания неоновых фигур NEON-NIGHT Креатив 90 LED, 0.75 м, синий</t>
  </si>
  <si>
    <t>255-545</t>
  </si>
  <si>
    <t>4601004283374</t>
  </si>
  <si>
    <t>Гирлянда светодиодная Айсикл (бахрома) 10х0,6м, с эффектом мерцания, прозрачный провод, IP44, 230В, диоды БЕЛЫЕ, 238LED NEON-NIGHT</t>
  </si>
  <si>
    <t>255-546</t>
  </si>
  <si>
    <t>4601004283190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</si>
  <si>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</si>
  <si>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255-595</t>
  </si>
  <si>
    <t>4601004283336</t>
  </si>
  <si>
    <t>Гирлянда светодиодная Айсикл (бахрома) 25х0,6м, c эффектом мерцания, прозрачный провод, IP44, 230В, диоды БЕЛЫЕ, 588LED NEON-NIGHT</t>
  </si>
  <si>
    <t>255-596</t>
  </si>
  <si>
    <t>4601004283350</t>
  </si>
  <si>
    <t>Гирлянда светодиодная Айсикл (бахрома) 25х0,6м, c эффектом мерцания, прозрачный провод, IP44, 230В, диоды ТЕПЛЫЕ БЕЛЫЕ, 588LED NEON-NIGHT</t>
  </si>
  <si>
    <t>255-525</t>
  </si>
  <si>
    <t>4601004283176</t>
  </si>
  <si>
    <t>Гирлянда светодиодная Айсикл (бахрома) 5х0,6м, с эффектом мерцания, прозрачный провод, IP44, 230В, диоды БЕЛЫЕ, 112LED NEON-NIGHT</t>
  </si>
  <si>
    <t>255-526</t>
  </si>
  <si>
    <t>4601004283329</t>
  </si>
  <si>
    <t>Гирлянда светодиодная Айсикл (бахрома) 5х0,6м, с эффектом мерцания, прозрачный провод, IP44, 230В, диоды ТЕПЛЫЕ БЕЛЫЕ, 112LED NEON-NIGHT</t>
  </si>
  <si>
    <t>303-609</t>
  </si>
  <si>
    <t>4601004283565</t>
  </si>
  <si>
    <t>Гирлянда Мультишарики 20м, 200LED, диаметр 15мм, IP44, зеленый провод, свечение мульти (RG/RB), мигание, 230В NEON-NIGHT</t>
  </si>
  <si>
    <t>235-515</t>
  </si>
  <si>
    <t>4601004283183</t>
  </si>
  <si>
    <t>Гирлянда Дождь светодиодный 2х1,5м, эффект мерцания, прозрачный провод, IP44, 230В, диоды БЕЛЫЕ, 150LED NEON-NIGHT</t>
  </si>
  <si>
    <t>235-516</t>
  </si>
  <si>
    <t>4601004283275</t>
  </si>
  <si>
    <t>Гирлянда Дождь светодиодный 2х1,5м, эффект мерцания, прозрачный провод, IP44, 230В, диоды ТЕПЛЫЕ БЕЛЫЕ, 150LED NEON-NIGHT</t>
  </si>
  <si>
    <t>235-555</t>
  </si>
  <si>
    <t>4601004283237</t>
  </si>
  <si>
    <t>Гирлянда Дождь светодиодный 2х3м, эффект мерцания, прозрачный провод, IP44, 230В, диоды БЕЛЫЕ, 300LED NEON-NIGHT</t>
  </si>
  <si>
    <t>235-556</t>
  </si>
  <si>
    <t>4601004283213</t>
  </si>
  <si>
    <t>Гирлянда Дождь светодиодный 2х3м, эффект мерцания, прозрачный провод, IP44, 230В, диоды ТЕПЛЫЕ БЕЛЫЕ, 300LED NEON-NIGHT</t>
  </si>
  <si>
    <t>303-509-6</t>
  </si>
  <si>
    <t>4601004008571</t>
  </si>
  <si>
    <t>305-525</t>
  </si>
  <si>
    <t>4601004283282</t>
  </si>
  <si>
    <t>Гирлянда Нить 10м, с эффектом мерцания, прозрачный провод, IP44, 230В, диоды БЕЛЫЕ, 75LED NEON-NIGHT</t>
  </si>
  <si>
    <t>305-526</t>
  </si>
  <si>
    <t>4601004283343</t>
  </si>
  <si>
    <t>Гирлянда Нить 10м, с эффектом мерцания, прозрачный провод, IP44, 230В, диоды ТЕПЛЫЕ БЕЛЫЕ, 75LED NEON-NIGHT</t>
  </si>
  <si>
    <t>305-565</t>
  </si>
  <si>
    <t>4601004283305</t>
  </si>
  <si>
    <t>Гирлянда Нить 20м, с эффектом мерцания, прозрачный провод, IP44, 230В, диоды БЕЛЫЕ, 150LED NEON-NIGHT</t>
  </si>
  <si>
    <t>305-566</t>
  </si>
  <si>
    <t>4601004283381</t>
  </si>
  <si>
    <t>Гирлянда Нить 20м, с эффектом мерцания, прозрачный провод, IP44, 230В, диоды ТЕПЛЫЕ БЕЛЫЕ, 150LED NEON-NIGHT</t>
  </si>
  <si>
    <t>303-259</t>
  </si>
  <si>
    <t>4601004283947</t>
  </si>
  <si>
    <t>Гирлянда Роса 10м, 100LED, RGB, IP44, на батарейках 3хАА, с пультом 44 режима NEON-NIGHT</t>
  </si>
  <si>
    <t>303-256</t>
  </si>
  <si>
    <t>4601004284005</t>
  </si>
  <si>
    <t>Гирлянда Роса 10м, 100LED, теплый белый, IP44, на батарейках 3хАА, с пультом 8 режимов NEON-NIGHT</t>
  </si>
  <si>
    <t>303-257</t>
  </si>
  <si>
    <t>4601004311121</t>
  </si>
  <si>
    <t>Гирлянда Роса 20м, 200LED, теплый белый, IP44, на батарейках 3хАА, с пультом 8 режимов NEON-NIGHT</t>
  </si>
  <si>
    <t>https://catalog.onliner.by/xmaslights/neonnight/303257303257</t>
  </si>
  <si>
    <t>303-236</t>
  </si>
  <si>
    <t>4601004254800</t>
  </si>
  <si>
    <t>Гирлянда Роса с трансформатором 100 м, 1000 LED, теплое белое свечение NEON-NIGHT</t>
  </si>
  <si>
    <t>303-209</t>
  </si>
  <si>
    <t>4601004254756</t>
  </si>
  <si>
    <t>Гирлянда Роса с трансформатором 20 м, 200 LED, цвет свечения мультиколор NEON-NIGHT</t>
  </si>
  <si>
    <t>303-215</t>
  </si>
  <si>
    <t>4601004184138</t>
  </si>
  <si>
    <t>Гирлянда Роса с трансформатором 30 м, 300 LED, белое свечение NEON-NIGHT</t>
  </si>
  <si>
    <t>303-216</t>
  </si>
  <si>
    <t>4601004184121</t>
  </si>
  <si>
    <t>Гирлянда Роса с трансформатором 30 м, 300 LED, теплое белое свечение NEON-NIGHT</t>
  </si>
  <si>
    <t>303-225</t>
  </si>
  <si>
    <t>4601004254787</t>
  </si>
  <si>
    <t>Гирлянда Роса с трансформатором 50 м, 500 LED, белое свечение NEON-NIGHT</t>
  </si>
  <si>
    <t>303-229</t>
  </si>
  <si>
    <t>Гирлянда Роса с трансформатором 50 м, 500 LED, цвет свечения мультиколор NEON-NIGHT</t>
  </si>
  <si>
    <t>303-205</t>
  </si>
  <si>
    <t>4601004184114</t>
  </si>
  <si>
    <t>Гирлянда Роса с трансформатором, 20 м, 200 LED, белое свечение NEON-NIGHT</t>
  </si>
  <si>
    <t>303-206</t>
  </si>
  <si>
    <t>4601004184107</t>
  </si>
  <si>
    <t>Гирлянда Роса с трансформатором 20 м, 200 LED, теплое белое свечение NEON-NIGHT</t>
  </si>
  <si>
    <t>303-245</t>
  </si>
  <si>
    <t>4601004254817</t>
  </si>
  <si>
    <t>Гирлянда роса Фейерверк с трансформатором 20 м, 1000 LED, белое свечение</t>
  </si>
  <si>
    <t>303-246</t>
  </si>
  <si>
    <t>4601004254824</t>
  </si>
  <si>
    <t>Гирлянда роса Фейерверк с трансформатором 20 м, 1000 LED, теплое белое свечение</t>
  </si>
  <si>
    <t>303-249</t>
  </si>
  <si>
    <t>4601004254831</t>
  </si>
  <si>
    <t>Гирлянда роса Фейерверк с трансформатором 20 м, 1000 LED, цвет свечения мультиколор</t>
  </si>
  <si>
    <t>331-301</t>
  </si>
  <si>
    <t>4601004032965</t>
  </si>
  <si>
    <t>Набор Белт-Лайт 10 м, белый каучук, 30 ламп, цвет Желтый, IP65, соединяется</t>
  </si>
  <si>
    <t>331-302</t>
  </si>
  <si>
    <t>4601004032903</t>
  </si>
  <si>
    <t>Набор Белт-Лайт 10 м, белый каучук, 30 ламп, цвет Красный, IP65, соединяется</t>
  </si>
  <si>
    <t>331-306</t>
  </si>
  <si>
    <t>4601004032941</t>
  </si>
  <si>
    <t>Набор Белт-Лайт 10 м, белый каучук, 30 ламп, цвет Теплый белый, IP65, соединяется</t>
  </si>
  <si>
    <t>331-325</t>
  </si>
  <si>
    <t>4601004014886</t>
  </si>
  <si>
    <t>Набор Белт-Лайт 10 м, черный каучук, 30 ламп, цвет Белый, IP65, соединяется</t>
  </si>
  <si>
    <t>331-321</t>
  </si>
  <si>
    <t>4601004014923</t>
  </si>
  <si>
    <t>Набор Белт-Лайт 10 м, черный каучук, 30 ламп, цвет Желтый, IP65, соединяется</t>
  </si>
  <si>
    <t>331-322</t>
  </si>
  <si>
    <t>4601004014947</t>
  </si>
  <si>
    <t>Набор Белт-Лайт 10 м, черный каучук, 30 ламп, цвет Красный, IP65, соединяется</t>
  </si>
  <si>
    <t>331-329</t>
  </si>
  <si>
    <t>4601004014909</t>
  </si>
  <si>
    <t>Набор Белт-Лайт 10 м, черный каучук, 30 ламп, цвет Мультиколор, IP65, соединяется</t>
  </si>
  <si>
    <t>331-323</t>
  </si>
  <si>
    <t>4601004014930</t>
  </si>
  <si>
    <t>Набор Белт-Лайт 10 м, черный каучук, 30 ламп, цвет Синий, IP65, соединяется</t>
  </si>
  <si>
    <t>331-326</t>
  </si>
  <si>
    <t>4601004014893</t>
  </si>
  <si>
    <t>Набор Белт-Лайт 10 м, черный каучук, 30 ламп, цвет Теплый белый, IP65, соединяется</t>
  </si>
  <si>
    <t>331-356</t>
  </si>
  <si>
    <t>4601004237537</t>
  </si>
  <si>
    <t>Уличная гирлянда Лофт 10м, черный каучук, 20 матовых ламп х 5 LED, влагостойкая IP44</t>
  </si>
  <si>
    <t>331-357</t>
  </si>
  <si>
    <t>4601004237544</t>
  </si>
  <si>
    <t>Уличная гирлянда Лофт 10м, черный каучук, 20 прозрачных ламп х 5 LED, влагостойкая IP44</t>
  </si>
  <si>
    <t>331-355</t>
  </si>
  <si>
    <t>4601004273160</t>
  </si>
  <si>
    <t>Уличная гирлянда Лофт 10м, черный каучук, 20 прозрачных ламп, теплый белый, влагостойкая IP65</t>
  </si>
  <si>
    <t>331-359</t>
  </si>
  <si>
    <t>4601004284050</t>
  </si>
  <si>
    <t>Уличная гирлянда Лофт 15м, черный ПВХ, 50 прозрачных ламп, цвет Теплый Белый, влагостойкая IP44</t>
  </si>
  <si>
    <t>331-358</t>
  </si>
  <si>
    <t>4601004284043</t>
  </si>
  <si>
    <t>Уличная гирлянда Лофт 7,5м, черный ПВХ, 25 прозрачных ламп, цвет Теплый Белый, влагостойкая IP44</t>
  </si>
  <si>
    <t>331-332</t>
  </si>
  <si>
    <t>4601004226944</t>
  </si>
  <si>
    <t>Белт-Лайт 10м, белый каучук, шаг 50см, 20 патронов, IP44</t>
  </si>
  <si>
    <t>331-336</t>
  </si>
  <si>
    <t>4601004226883</t>
  </si>
  <si>
    <t>Белт-Лайт 10м, белый каучук, шаг 50см, 20 подвесных патронов, IP44</t>
  </si>
  <si>
    <t>331-331</t>
  </si>
  <si>
    <t>4601004226906</t>
  </si>
  <si>
    <t>Белт-Лайт 10м, черный каучук, шаг 50см, 20 патронов, IP44</t>
  </si>
  <si>
    <t>331-335</t>
  </si>
  <si>
    <t>4601004226913</t>
  </si>
  <si>
    <t>Белт-Лайт 10м, черный каучук, шаг 50см, 20 подвесных патронов, IP44</t>
  </si>
  <si>
    <t>331-334</t>
  </si>
  <si>
    <t>4601004226920</t>
  </si>
  <si>
    <t>Белт-Лайт 20м, белый каучук, шаг 50см, 40 патронов, IP44</t>
  </si>
  <si>
    <t>331-338</t>
  </si>
  <si>
    <t>4601004273177</t>
  </si>
  <si>
    <t>Белт-Лайт 20м, белый каучук, шаг 50см, 40 подвесных патронов, IP44</t>
  </si>
  <si>
    <t>331-333</t>
  </si>
  <si>
    <t>4601004226937</t>
  </si>
  <si>
    <t>Белт-Лайт 20м, черный каучук, шаг 50см, 40 патронов, IP44</t>
  </si>
  <si>
    <t>331-337</t>
  </si>
  <si>
    <t>4601004226890</t>
  </si>
  <si>
    <t>Белт-Лайт 20м, черный каучук, шаг 50см, 40 подвесных патронов, IP44</t>
  </si>
  <si>
    <t>245-119</t>
  </si>
  <si>
    <t>4601004090750</t>
  </si>
  <si>
    <t>Дюралайт LED , свечение с динамикой (2W) - RGB Ø13мм, 36LED/м, 14м</t>
  </si>
  <si>
    <t>245-109</t>
  </si>
  <si>
    <t>4601004090514</t>
  </si>
  <si>
    <t>Дюралайт LED, свечение с динамикой (2W) - RGB Ø13мм, 36LED/м, 6м</t>
  </si>
  <si>
    <t>123-031</t>
  </si>
  <si>
    <t>4601004089372</t>
  </si>
  <si>
    <t>Контроллер для наборов трехжильного светодиодного дюралайта 6м и 14м, до 30м</t>
  </si>
  <si>
    <t>121-329-10</t>
  </si>
  <si>
    <t>4601004234291</t>
  </si>
  <si>
    <t>Дюралайт LED фиксинг (2W), 24 LED/м, мульти (RYGB), 10 м</t>
  </si>
  <si>
    <t>121-329-20</t>
  </si>
  <si>
    <t>4601004234345</t>
  </si>
  <si>
    <t>Дюралайт LED фиксинг (2W), 24 LED/м, мульти (RYGB), 20 м</t>
  </si>
  <si>
    <t>121-326-10</t>
  </si>
  <si>
    <t>4601004234352</t>
  </si>
  <si>
    <t>Дюралайт LED фиксинг (2W), 24 LED/м, теплый белый, 10 м</t>
  </si>
  <si>
    <t>121-326-20</t>
  </si>
  <si>
    <t>4601004234338</t>
  </si>
  <si>
    <t>Дюралайт LED фиксинг (2W), 24 LED/м, теплый белый, 20 м</t>
  </si>
  <si>
    <t>121-323-14</t>
  </si>
  <si>
    <t>4601004233263</t>
  </si>
  <si>
    <t>Дюралайт LED, фиксинг (2W), 24 LED/м, белый, 25 м</t>
  </si>
  <si>
    <t>121-328-14</t>
  </si>
  <si>
    <t>4601004233287</t>
  </si>
  <si>
    <t>Дюралайт LED, фиксинг (2W), 24 LED/м, мультиколор (RYGB), 25 м</t>
  </si>
  <si>
    <t>121-327-14</t>
  </si>
  <si>
    <t>4601004233270</t>
  </si>
  <si>
    <t>Дюралайт LED, фиксинг (2W), 24 LED/м, теплый белый, 25 м</t>
  </si>
  <si>
    <t>131-003</t>
  </si>
  <si>
    <t>4601004246492</t>
  </si>
  <si>
    <t>Гибкий неон NEON-NIGHT SMD (8х16 мм) односторонний белый, 120 LED/м, набор 10 м (с комплектом подключения), IP65</t>
  </si>
  <si>
    <t>https://catalog.onliner.by/ledstrip/neonnight/nn131003</t>
  </si>
  <si>
    <t>131-004</t>
  </si>
  <si>
    <t>4601004246508</t>
  </si>
  <si>
    <t>Гибкий неон NEON-NIGHT SMD (8х16 мм) односторонний теплый белый, 120 LED/м, набор 10 м (с комплектом подключения), IP65</t>
  </si>
  <si>
    <t>https://catalog.onliner.by/ledstrip/neonnight/nn131004</t>
  </si>
  <si>
    <t>131-008</t>
  </si>
  <si>
    <t>4601004197978</t>
  </si>
  <si>
    <t>Гибкий неон NEON-NIGHT LED SMD 8х16 мм, односторонний теплый белый, 120 LED/м, 20 м</t>
  </si>
  <si>
    <t>131-005</t>
  </si>
  <si>
    <t>4601004161801</t>
  </si>
  <si>
    <t>Гибкий неон LED SMD 8х16 мм, односторонний, белый, 120 LED/м, 5 м</t>
  </si>
  <si>
    <t>131-006</t>
  </si>
  <si>
    <t>4601004161795</t>
  </si>
  <si>
    <t>Гибкий неон LED SMD 8х16 мм, односторонний, теплый белый, 120 LED/м, 5 м</t>
  </si>
  <si>
    <t>531-105</t>
  </si>
  <si>
    <t>4601004001909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</si>
  <si>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</si>
  <si>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531-102</t>
  </si>
  <si>
    <t>4601004001879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</si>
  <si>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</si>
  <si>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"Neon-Night Co., LTD", №8 Fuxing Road, Guzhen Zhongshan City , Guandong, China</t>
  </si>
  <si>
    <t>531-108</t>
  </si>
  <si>
    <t>4601004283428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</si>
  <si>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</si>
  <si>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531-103</t>
  </si>
  <si>
    <t>4601004001862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</si>
  <si>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</si>
  <si>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</si>
  <si>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</si>
  <si>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531-106</t>
  </si>
  <si>
    <t>2000031060224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</si>
  <si>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</si>
  <si>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531-101</t>
  </si>
  <si>
    <t>4601004001886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</si>
  <si>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</si>
  <si>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531-125</t>
  </si>
  <si>
    <t>4601004236714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</si>
  <si>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</si>
  <si>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531-128</t>
  </si>
  <si>
    <t>4601004283411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</si>
  <si>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</si>
  <si>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531-123</t>
  </si>
  <si>
    <t>2000031060262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</si>
  <si>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</si>
  <si>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531-126</t>
  </si>
  <si>
    <t>4601004278615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</si>
  <si>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</si>
  <si>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513-240</t>
  </si>
  <si>
    <t>4601004012653</t>
  </si>
  <si>
    <t>Акриловая светодиодная фигура Медвежонок в красном колпаке 56 см, 200 светодиодов, IP 65, понижающий трансформатор в комплекте, NEON-NIGHT</t>
  </si>
  <si>
    <t>513-267</t>
  </si>
  <si>
    <t>4601004003316</t>
  </si>
  <si>
    <t>Акриловая светодиодная фигура Мишка 60 см, 200 светодиодов, IP65, понижающий трансформатор в комплекте NEON-NIGHT</t>
  </si>
  <si>
    <t>513-280</t>
  </si>
  <si>
    <t>4601004259485</t>
  </si>
  <si>
    <t>Акриловая светодиодная фигура Олень 50х25х75 см, IP65, понижающий трансформатор в комплекте NEON-NIGHT</t>
  </si>
  <si>
    <t>513-285</t>
  </si>
  <si>
    <t>4601004259461</t>
  </si>
  <si>
    <t>Акриловая светодиодная фигура Северный олень 49х18х85 см, 120 светодиодов, IP65 понижающий трансформатор в комплекте, NEON-NIGHT</t>
  </si>
  <si>
    <t>513-283</t>
  </si>
  <si>
    <t>4601004180260</t>
  </si>
  <si>
    <t>Акриловая светодиодная фигура Снеговик в синих варежках 31х25х59 см, IP65, понижающий трансформатор в комплекте NEON-NIGHT</t>
  </si>
  <si>
    <t>513-282</t>
  </si>
  <si>
    <t>4601004180253</t>
  </si>
  <si>
    <t>Акриловая светодиодная фигура Снеговик в шляпе 38х38х72 см, IP65, понижающий трансформатор в комплекте NEON-NIGHT</t>
  </si>
  <si>
    <t>511-055</t>
  </si>
  <si>
    <t>4601004284326</t>
  </si>
  <si>
    <t>3D фигура надувная Дед Мороз с подарками, размер 300см, внутренняя подсветка 12LED, компрессор с адаптером 12В, IP44 NEON-NIGHT</t>
  </si>
  <si>
    <t>511-114</t>
  </si>
  <si>
    <t>4601004060005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</si>
  <si>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</si>
  <si>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</si>
  <si>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4601004003972</t>
  </si>
  <si>
    <t>3D фигура надувная Снеговик с метлой, размер 180 см, внутренняя подсветка 4 LED, компрессор с адаптером 12В, IP 65 NEON-NIGHT</t>
  </si>
  <si>
    <t>511-056</t>
  </si>
  <si>
    <t>4601004284333</t>
  </si>
  <si>
    <t>3D фигура надувная Снегурочка, размер 300см, внутренняя подсветка 9LED, компрессор с адаптером 12В, IP44 NEON-NIGHT</t>
  </si>
  <si>
    <t>121-125</t>
  </si>
  <si>
    <t>4601004003576</t>
  </si>
  <si>
    <t>121-125-4</t>
  </si>
  <si>
    <t>4601004060579</t>
  </si>
  <si>
    <t>121-121-6</t>
  </si>
  <si>
    <t>4601004082328</t>
  </si>
  <si>
    <t>121-121</t>
  </si>
  <si>
    <t>4601004003569</t>
  </si>
  <si>
    <t>121-121-4</t>
  </si>
  <si>
    <t>4601004084018</t>
  </si>
  <si>
    <t>121-124-4</t>
  </si>
  <si>
    <t>4601004083912</t>
  </si>
  <si>
    <t>121-122-6</t>
  </si>
  <si>
    <t>4601004082335</t>
  </si>
  <si>
    <t>121-122</t>
  </si>
  <si>
    <t>4601004003514</t>
  </si>
  <si>
    <t>121-122-4</t>
  </si>
  <si>
    <t>4601004083905</t>
  </si>
  <si>
    <t>121-123-3</t>
  </si>
  <si>
    <t>4601004089389</t>
  </si>
  <si>
    <t>121-123-6</t>
  </si>
  <si>
    <t>4601004082359</t>
  </si>
  <si>
    <t>121-123</t>
  </si>
  <si>
    <t>4601004003538</t>
  </si>
  <si>
    <t>121-123-4</t>
  </si>
  <si>
    <t>4601004060586</t>
  </si>
  <si>
    <t>121-126-3</t>
  </si>
  <si>
    <t>4601004089365</t>
  </si>
  <si>
    <t>121-155</t>
  </si>
  <si>
    <t>4601004236691</t>
  </si>
  <si>
    <t>121-156</t>
  </si>
  <si>
    <t>4601004236707</t>
  </si>
  <si>
    <t>121-136</t>
  </si>
  <si>
    <t>4601004236684</t>
  </si>
  <si>
    <t>121-325</t>
  </si>
  <si>
    <t>4610003606732</t>
  </si>
  <si>
    <t>121-325-4</t>
  </si>
  <si>
    <t>4601004083981</t>
  </si>
  <si>
    <t>121-324</t>
  </si>
  <si>
    <t>4601004082403</t>
  </si>
  <si>
    <t>121-322</t>
  </si>
  <si>
    <t>4601004003552</t>
  </si>
  <si>
    <t>121-329-6</t>
  </si>
  <si>
    <t>4601004082397</t>
  </si>
  <si>
    <t>121-329</t>
  </si>
  <si>
    <t>4610003606725</t>
  </si>
  <si>
    <t>121-329-4</t>
  </si>
  <si>
    <t>4601004084001</t>
  </si>
  <si>
    <t>121-323</t>
  </si>
  <si>
    <t>4601004003583</t>
  </si>
  <si>
    <t>121-323-4</t>
  </si>
  <si>
    <t>4601004083967</t>
  </si>
  <si>
    <t>121-326-4</t>
  </si>
  <si>
    <t>4601004083998</t>
  </si>
  <si>
    <t>121-255</t>
  </si>
  <si>
    <t>4601004082427</t>
  </si>
  <si>
    <t>121-255-4</t>
  </si>
  <si>
    <t>4601004083929</t>
  </si>
  <si>
    <t>121-256</t>
  </si>
  <si>
    <t>4601004082458</t>
  </si>
  <si>
    <t>124-311</t>
  </si>
  <si>
    <t>4601004117433</t>
  </si>
  <si>
    <t>124-321</t>
  </si>
  <si>
    <t>4601004117426</t>
  </si>
  <si>
    <t>124-221</t>
  </si>
  <si>
    <t>4601004280809</t>
  </si>
  <si>
    <t>T - коннектор для трехжильного дюралайта ∅13мм (цена за 1 шт.)</t>
  </si>
  <si>
    <t>104-200</t>
  </si>
  <si>
    <t>2000321585505</t>
  </si>
  <si>
    <t>104-201</t>
  </si>
  <si>
    <t>4601004082793</t>
  </si>
  <si>
    <t>104-312</t>
  </si>
  <si>
    <t>4601004082755</t>
  </si>
  <si>
    <t>Клипсы крокодил ∅13 мм (100 шт. в упаковке)</t>
  </si>
  <si>
    <t>124-113</t>
  </si>
  <si>
    <t>4601004281349</t>
  </si>
  <si>
    <t>Коннектор для двухжильного дюралайта ∅10мм (цена за 1 шт.)</t>
  </si>
  <si>
    <t>124-111</t>
  </si>
  <si>
    <t>4601004280786</t>
  </si>
  <si>
    <t>Коннектор для двухжильного дюралайта ∅13мм (цена за 1 шт.)</t>
  </si>
  <si>
    <t>124-121</t>
  </si>
  <si>
    <t>4601004280793</t>
  </si>
  <si>
    <t>Коннектор для трехжильного дюралайта ∅13мм (цена за 1 шт.)</t>
  </si>
  <si>
    <t>124-018</t>
  </si>
  <si>
    <t>4601004286887</t>
  </si>
  <si>
    <t>Коннектор с проводом для двухжильного дюралайта, диаметр 13мм (коннектор с иголкой, заглушка) NEON-NIGHT</t>
  </si>
  <si>
    <t>123-034</t>
  </si>
  <si>
    <t>4601004003613</t>
  </si>
  <si>
    <t>Контроллер для трехжильного светодиодного дюралайта ∅13 мм, до 100 м</t>
  </si>
  <si>
    <t>123-032</t>
  </si>
  <si>
    <t>4601004120495</t>
  </si>
  <si>
    <t>Контроллер для трехжильного светодиодного дюралайта ∅13 мм, до 50 м</t>
  </si>
  <si>
    <t>104-411</t>
  </si>
  <si>
    <t>4601004082748</t>
  </si>
  <si>
    <t>124-021-3</t>
  </si>
  <si>
    <t>4601004089396</t>
  </si>
  <si>
    <t>Установочный набор для дюралайта 2W ∅10мм (коннектор с иголкой, выпрямитель, заглушка), до 100м</t>
  </si>
  <si>
    <t>124-011</t>
  </si>
  <si>
    <t>4601004003590</t>
  </si>
  <si>
    <t>Установочный набор для дюралайта 2W ∅13мм (коннектор с иголкой, выпрямитель, заглушка), до 100м</t>
  </si>
  <si>
    <t>124-021</t>
  </si>
  <si>
    <t>4601004003606</t>
  </si>
  <si>
    <t>Установочный набор для дюралайта 3W ∅13мм (коннектор с иголкой, выпрямитель, заглушка), до 100м</t>
  </si>
  <si>
    <t>131-055</t>
  </si>
  <si>
    <t>4601004086555</t>
  </si>
  <si>
    <t>Гибкий Неон LED SMD 15х26 мм, белый, 120 LED/м, бухта 50м</t>
  </si>
  <si>
    <t>131-056</t>
  </si>
  <si>
    <t>4601004086456</t>
  </si>
  <si>
    <t>Гибкий Неон LED SMD 15х26 мм, ТЕПЛЫЙ БЕЛЫЙ, 120 LED/м, бухта 50м</t>
  </si>
  <si>
    <t>131-085</t>
  </si>
  <si>
    <t>4601004162044</t>
  </si>
  <si>
    <t>Гибкий неон LED SMD, форма – D, 16х16 мм, белый, 144 LED/м, бухта 50 м</t>
  </si>
  <si>
    <t>131-086</t>
  </si>
  <si>
    <t>4601004162051</t>
  </si>
  <si>
    <t>Гибкий неон LED SMD, форма – D, 16х16 мм, теплый белый, 144 LED/м, бухта 50 м</t>
  </si>
  <si>
    <t>131-065</t>
  </si>
  <si>
    <t>4601004086395</t>
  </si>
  <si>
    <t>Гибкий Неон LED SMD, компактный 7х12мм, двухсторонний, белый, 120 LED/м, бухта 100м</t>
  </si>
  <si>
    <t>131-126</t>
  </si>
  <si>
    <t>4601004295209</t>
  </si>
  <si>
    <t>Гибкий неон SMD 8х16мм, 120 LED/м ТЕПЛЫЙ БЕЛЫЙ, односторонний, 24В, бухта 50м NEON-NIGHT</t>
  </si>
  <si>
    <t>131-115</t>
  </si>
  <si>
    <t>4601004285644</t>
  </si>
  <si>
    <t>Гибкий неон SMD 8х16мм, двухсторонний, 24В, белый, 120 LED/м, 50м NEON-NIGHT</t>
  </si>
  <si>
    <t>131-116</t>
  </si>
  <si>
    <t>4601004285194</t>
  </si>
  <si>
    <t>Гибкий неон SMD 8х16мм, двухсторонний, 24В, теплый белый, 120 LED/м, 50м NEON-NIGHT</t>
  </si>
  <si>
    <t>131-095</t>
  </si>
  <si>
    <t>4601004161825</t>
  </si>
  <si>
    <t>Гибкий неон LED SMD 8х16 мм, двухсторонний, белый, 120 LED/м, бухта 50 м</t>
  </si>
  <si>
    <t>131-091</t>
  </si>
  <si>
    <t>4601004252424</t>
  </si>
  <si>
    <t>Гибкий неон SMD 8х16 мм, двухсторонний, желтый, 120 LED/м, бухта 100 м (с комплектом подключения)</t>
  </si>
  <si>
    <t>131-093</t>
  </si>
  <si>
    <t>4601004161849</t>
  </si>
  <si>
    <t>Гибкий неон LED SMD 8х16 мм, двухсторонний, синий, 120 LED/м, бухта 100 м</t>
  </si>
  <si>
    <t>131-096</t>
  </si>
  <si>
    <t>4601004161818</t>
  </si>
  <si>
    <t>Гибкий неон LED SMD 8х16 мм, двухсторонний, теплый белый, 120 LED/м, бухта 50 м</t>
  </si>
  <si>
    <t>131-045</t>
  </si>
  <si>
    <t>4601004163201</t>
  </si>
  <si>
    <t>Гибкий неон LED SMD 8х16 мм, белый, 120 LED/м, бухта 100 м</t>
  </si>
  <si>
    <t>131-043</t>
  </si>
  <si>
    <t>4601004163218</t>
  </si>
  <si>
    <t>Гибкий неон LED SMD 8х16 мм, синий, 120 LED/м, бухта 100 м</t>
  </si>
  <si>
    <t>131-046</t>
  </si>
  <si>
    <t>4601004160606</t>
  </si>
  <si>
    <t>Гибкий неон LED SMD 8х16 мм, теплый белый, 120 LED/м, бухта 100 м</t>
  </si>
  <si>
    <t>131-315</t>
  </si>
  <si>
    <t>4601004233300</t>
  </si>
  <si>
    <t>Гибкий неон LED 360 (круглый), белый, бухта 50 м</t>
  </si>
  <si>
    <t>131-316</t>
  </si>
  <si>
    <t>4601004233294</t>
  </si>
  <si>
    <t>Гибкий неон LED 360 (круглый), теплый белый, бухта 50 м</t>
  </si>
  <si>
    <t>131-037</t>
  </si>
  <si>
    <t>2000031066783</t>
  </si>
  <si>
    <t>Гибкий Неон LED 360 (круглый) - розовый, бухта 50м</t>
  </si>
  <si>
    <t>134-063</t>
  </si>
  <si>
    <t>4601004277717</t>
  </si>
  <si>
    <t>L - коннектор для двухстороннего Гибкого Неона 8х16мм (цена за 1 шт.)</t>
  </si>
  <si>
    <t>134-061</t>
  </si>
  <si>
    <t>4601004277663</t>
  </si>
  <si>
    <t>L - коннектор для одностороннего Гибкого Неона 8х16мм (цена за 1 шт.)</t>
  </si>
  <si>
    <t>134-062</t>
  </si>
  <si>
    <t>4601004277694</t>
  </si>
  <si>
    <t>T - коннектор для двухстороннего Гибкого Неона 8х16мм (цена за 1 шт.)</t>
  </si>
  <si>
    <t>134-060</t>
  </si>
  <si>
    <t>4601004277670</t>
  </si>
  <si>
    <t>T - коннектор для одностороннего Гибкого Неона 8х16мм (цена за 1 шт.)</t>
  </si>
  <si>
    <t>134-026</t>
  </si>
  <si>
    <t>4601004284654</t>
  </si>
  <si>
    <t>134-039</t>
  </si>
  <si>
    <t>4601004090316</t>
  </si>
  <si>
    <t>134-038</t>
  </si>
  <si>
    <t>4601004090309</t>
  </si>
  <si>
    <t>134-093</t>
  </si>
  <si>
    <t>4601004233324</t>
  </si>
  <si>
    <t>134-020</t>
  </si>
  <si>
    <t>4601004126862</t>
  </si>
  <si>
    <t>134-091</t>
  </si>
  <si>
    <t>4601004161962</t>
  </si>
  <si>
    <t>134-092</t>
  </si>
  <si>
    <t>4601004161979</t>
  </si>
  <si>
    <t>134-088</t>
  </si>
  <si>
    <t>4601004303812</t>
  </si>
  <si>
    <t>Профиль алюминиевый анодированный для гибкого неона 16х16мм, 2м NEON-NIGHT</t>
  </si>
  <si>
    <t>134-085</t>
  </si>
  <si>
    <t>4601004161931</t>
  </si>
  <si>
    <t>134-003</t>
  </si>
  <si>
    <t>4601004086876</t>
  </si>
  <si>
    <t>134-024</t>
  </si>
  <si>
    <t>4601004132795</t>
  </si>
  <si>
    <t>134-023</t>
  </si>
  <si>
    <t>4601004284630</t>
  </si>
  <si>
    <t>134-002</t>
  </si>
  <si>
    <t>4601004281202</t>
  </si>
  <si>
    <t>Коннектор для гибкого неона 15х26мм, провод ПВХ, длина 20 см (цена за 1 шт.)</t>
  </si>
  <si>
    <t>134-009</t>
  </si>
  <si>
    <t>4601004233331</t>
  </si>
  <si>
    <t>Коннектор для соединения гибкого неона 360, провод каучук, длина 20 см NEON-NIGHT</t>
  </si>
  <si>
    <t>134-008</t>
  </si>
  <si>
    <t>4601004278295</t>
  </si>
  <si>
    <t>Коннектор для гибкого неона формы D 16х16 мм, провод ПВХ, длина 20 см (цена за 1 шт.)</t>
  </si>
  <si>
    <t>134-006</t>
  </si>
  <si>
    <t>4601004283923</t>
  </si>
  <si>
    <t>Коннектор для двухстороннего гибкого неона 8х16 мм, провод каучук, длина 20 см NEON-NIGHT</t>
  </si>
  <si>
    <t>134-051</t>
  </si>
  <si>
    <t>4601004286863</t>
  </si>
  <si>
    <t>Коннектор с проводом для двухстороннего неона 8х16мм, провод каучук NEON-NIGHT</t>
  </si>
  <si>
    <t>134-050</t>
  </si>
  <si>
    <t>4601004286870</t>
  </si>
  <si>
    <t>Коннектор с проводом для одностороннего неона 8х16мм, провод каучук NEON-NIGHT</t>
  </si>
  <si>
    <t>134-032</t>
  </si>
  <si>
    <t>4601004281219</t>
  </si>
  <si>
    <t>Коннектор-иглы (с термоусад. пленкой) для неона 15x26 мм</t>
  </si>
  <si>
    <t>134-040</t>
  </si>
  <si>
    <t>4601004278318</t>
  </si>
  <si>
    <t>Коннектор-иглы (с термоусад. пленкой) для неона 8x16 мм, 16х16 мм</t>
  </si>
  <si>
    <t>134-045</t>
  </si>
  <si>
    <t>4601004086371</t>
  </si>
  <si>
    <t>Профиль алюминиевый анодированный для гибкого неона 15х26мм, 1м NEON-NIGHT</t>
  </si>
  <si>
    <t>134-080</t>
  </si>
  <si>
    <t>4601004161887</t>
  </si>
  <si>
    <t>Профиль алюминиевый анодированный для гибкого неона 8х16мм, 2м NEON-NIGHT</t>
  </si>
  <si>
    <t>134-049</t>
  </si>
  <si>
    <t>4601004086326</t>
  </si>
  <si>
    <t>Профиль пластиковый для гибкого неона 12х12мм, 1м NEON-NIGHT</t>
  </si>
  <si>
    <t>134-090</t>
  </si>
  <si>
    <t>4601004308138</t>
  </si>
  <si>
    <t>Профиль алюминиевый анодированный для гибкого неона 15х26мм, 2м NEON-NIGHT</t>
  </si>
  <si>
    <t>134-047</t>
  </si>
  <si>
    <t>4601004086302</t>
  </si>
  <si>
    <t>134-082</t>
  </si>
  <si>
    <t>4601004161900</t>
  </si>
  <si>
    <t>Профиль пластиковый для гибкого неона формы D, 16х16мм, 1м NEON-NIGHT</t>
  </si>
  <si>
    <t>134-083</t>
  </si>
  <si>
    <t>4601004310315</t>
  </si>
  <si>
    <t>Профиль алюминиевый анодированный для гибкого неона 8х16мм, 2м, черный NEON-NIGHT</t>
  </si>
  <si>
    <t>134-035</t>
  </si>
  <si>
    <t>4601004086364</t>
  </si>
  <si>
    <t>134-033</t>
  </si>
  <si>
    <t>4601004090286</t>
  </si>
  <si>
    <t>134-027</t>
  </si>
  <si>
    <t>4601004284623</t>
  </si>
  <si>
    <t>134-017</t>
  </si>
  <si>
    <t>4601004126848</t>
  </si>
  <si>
    <t>134-031</t>
  </si>
  <si>
    <t>4601004090330</t>
  </si>
  <si>
    <t>134-012</t>
  </si>
  <si>
    <t>4601004233317</t>
  </si>
  <si>
    <t>Установочный набор для гибкого неона 360 Ø 16 мм, провод ПВХ, 230 В</t>
  </si>
  <si>
    <t>134-501</t>
  </si>
  <si>
    <t>4601004295193</t>
  </si>
  <si>
    <t>Установочный набор для Гибкого неона 16х16мм формы D (шнур питания каучук с диодным мостом и вилкой, заглушка, переходная муфта, игла) 1,5м NEON-NIGHT</t>
  </si>
  <si>
    <t>134-502</t>
  </si>
  <si>
    <t>4601004295223</t>
  </si>
  <si>
    <t>Установочный набор для двухстороннего Гибкого неона 8х16мм (шнур питания каучук с диодным мостом и вилкой, заглушка, переходная муфта, игла) 1,5м NEON-NIGHT</t>
  </si>
  <si>
    <t>134-503</t>
  </si>
  <si>
    <t>4601004295230</t>
  </si>
  <si>
    <t>Установочный набор для одностороннего Гибкого неона 8х16мм (шнур питания каучук с диодным мостом и вилкой, заглушка, переходная муфта, игла) 1,5м NEON-NIGHT</t>
  </si>
  <si>
    <t>134-504</t>
  </si>
  <si>
    <t>4601004295247</t>
  </si>
  <si>
    <t>Установочный набор для одностороннего Гибкого неона 15х26мм (шнур питания каучук с диодным мостом и вилкой, заглушка, переходная муфта, игла) 1,5м</t>
  </si>
  <si>
    <t>235-106</t>
  </si>
  <si>
    <t>4601004091979</t>
  </si>
  <si>
    <t>Гирлянда светодиодная Занавес 2х0,8м 160 LED ТЕПЛЫЙ БЕЛЫЙ прозрачный ПВХ IP65 постоянное свечение 230В нужен блок 303-500-1 NEON-NIGHT</t>
  </si>
  <si>
    <t>235-336</t>
  </si>
  <si>
    <t>4601004225114</t>
  </si>
  <si>
    <t>Гирлянда светодиодная Занавес 2х0,8м 160 LED ТЕПЛЫЙ БЕЛЫЙ прозрачный ПВХ IP65 эффект мерцания 230В нужен блок 303-500-1 NEON-NIGHT</t>
  </si>
  <si>
    <t>235-286</t>
  </si>
  <si>
    <t>4601004225138</t>
  </si>
  <si>
    <t>Гирлянда светодиодная Занавес 2х0,8м 160 LED ТЕПЛЫЙ БЕЛЫЙ черный ПВХ IP65 постоянное свечение 230В нужен блок 303-500 NEON-NIGHT</t>
  </si>
  <si>
    <t>235-356</t>
  </si>
  <si>
    <t>4601004225145</t>
  </si>
  <si>
    <t>Гирлянда светодиодная Занавес 2х0,8м 160 LED ТЕПЛЫЙ БЕЛЫЙ черный ПВХ IP65 эффект мерцания 230В нужен блок 303-500 NEON-NIGHT</t>
  </si>
  <si>
    <t>235-105</t>
  </si>
  <si>
    <t>4601004091962</t>
  </si>
  <si>
    <t>Гирлянда светодиодная Занавес 2x0,8м 160 LED БЕЛЫЙ прозрачный ПВХ IP65 постоянное свечение 230В нужен блок 303-500-1 NEON-NIGHT</t>
  </si>
  <si>
    <t>235-104</t>
  </si>
  <si>
    <t>4601004091955</t>
  </si>
  <si>
    <t>Гирлянда светодиодная Занавес 2x0,8м 160 LED ЗЕЛЕНЫЙ прозрачный ПВХ IP65 постоянное свечение 230В блок в комплекте NEON-NIGHT</t>
  </si>
  <si>
    <t>235-102</t>
  </si>
  <si>
    <t>4601004091931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</si>
  <si>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</si>
  <si>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</si>
  <si>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4601004091948</t>
  </si>
  <si>
    <t>Гирлянда светодиодная Занавес 2x0,8м 160 LED СИНИЙ прозрачный ПВХ IP65 постоянное свечение 230В нужен блок 303-500-1 NEON-NIGHT</t>
  </si>
  <si>
    <t>235-306-6</t>
  </si>
  <si>
    <t>4601004016477</t>
  </si>
  <si>
    <t>Гирлянда светодиодная Занавес 2х1,5м 192 LED ТЕПЛЫЙ БЕЛЫЙ прозрачный ПВХ IP65 постоянное свечение 230В нужен блок 303-500-1 NEON-NIGHT</t>
  </si>
  <si>
    <t>235-115</t>
  </si>
  <si>
    <t>4601004001701</t>
  </si>
  <si>
    <t>Гирлянда светодиодная Занавес 2х1,5м 300 LED БЕЛЫЙ белый ПВХ IP65 постоянное свечение 230В нужен блок 303-500-1 NEON-NIGHT</t>
  </si>
  <si>
    <t>235-221</t>
  </si>
  <si>
    <t>4610003609818</t>
  </si>
  <si>
    <t>Гирлянда светодиодная Занавес 2х1,5м 300 LED БЕЛЫЙ белый ПВХ IP65 эффект мерцания 230В нужен блок 303-500-1 NEON-NIGHT</t>
  </si>
  <si>
    <t>235-125</t>
  </si>
  <si>
    <t>4610003609610</t>
  </si>
  <si>
    <t>Гирлянда светодиодная Занавес 2х1,5м 300 LED БЕЛЫЙ черный ПВХ IP65 постоянное свечение 230В нужен блок 303-500 NEON-NIGHT</t>
  </si>
  <si>
    <t>235-231</t>
  </si>
  <si>
    <t>4610003609863</t>
  </si>
  <si>
    <t>Гирлянда светодиодная Занавес 2х1,5м 300 LED БЕЛЫЙ черный ПВХ IP65 эффект мерцания 230В нужен блок 303-500 NEON-NIGHT</t>
  </si>
  <si>
    <t>235-116</t>
  </si>
  <si>
    <t>4610003609566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</si>
  <si>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</si>
  <si>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</si>
  <si>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4610003609467</t>
  </si>
  <si>
    <t>Гирлянда светодиодная Занавес 2х1,5м 300 LED ТЕПЛЫЙ БЕЛЫЙ прозрачный ПВХ IP65 постоянное свечение 230В нужен блок 303-500-1 NEON-NIGHT</t>
  </si>
  <si>
    <t>235-316</t>
  </si>
  <si>
    <t>4601004015241</t>
  </si>
  <si>
    <t>Гирлянда светодиодная Занавес 2х1,5м 300 LED ТЕПЛЫЙ БЕЛЫЙ прозрачный ПВХ IP65 эффект мерцания 230В нужен блок 303-500-1 NEON-NIGHT</t>
  </si>
  <si>
    <t>235-126</t>
  </si>
  <si>
    <t>4610003609627</t>
  </si>
  <si>
    <t>Гирлянда светодиодная Занавес 2х1,5м 360 LED ТЕПЛЫЙ БЕЛЫЙ черный ПВХ IP65 постоянное свечение 230В нужен блок 303-500 NEON-NIGHT</t>
  </si>
  <si>
    <t>235-113</t>
  </si>
  <si>
    <t>4601004274020</t>
  </si>
  <si>
    <t>Гирлянда светодиодная Занавес 2х1,5м 360 LED СИНИЙ белый ПВХ IP65 постоянное свечение 230В блок в комплекте NEON-NIGHT</t>
  </si>
  <si>
    <t>235-223</t>
  </si>
  <si>
    <t>4610003609825</t>
  </si>
  <si>
    <t>Гирлянда светодиодная Занавес 2х1,5м 300 LED СИНИЙ белый ПВХ IP65 эффект мерцания 230В нужен блок 303-500-1 NEON-NIGHT</t>
  </si>
  <si>
    <t>235-225</t>
  </si>
  <si>
    <t>4610003609849</t>
  </si>
  <si>
    <t>Гирлянда светодиодная Занавес 2х1,5м 360 LED ЖЕЛТЫЙ белый ПВХ IP65 эффект мерцания 230В блок в комплекте NEON-NIGHT</t>
  </si>
  <si>
    <t>235-226</t>
  </si>
  <si>
    <t>4610003609856</t>
  </si>
  <si>
    <t>Гирлянда светодиодная Занавес 2х1,5м 360 LED ЗЕЛЕНЫЙ белый ПВХ IP65 эффект мерцания 230В блок в комплекте NEON-NIGHT</t>
  </si>
  <si>
    <t>235-305-6</t>
  </si>
  <si>
    <t>4601004016460</t>
  </si>
  <si>
    <t>235-301-6</t>
  </si>
  <si>
    <t>4601004016415</t>
  </si>
  <si>
    <t>Гирлянда светодиодная Занавес 2х1,5м 192 LED ЖЕЛТЫЙ прозрачный ПВХ IP65 постоянное свечение 230В нужен блок 303-500-1 NEON-NIGHT</t>
  </si>
  <si>
    <t>235-304-6</t>
  </si>
  <si>
    <t>4601004016446</t>
  </si>
  <si>
    <t>Гирлянда светодиодная Занавес 2х1,5м 192 LED ЗЕЛЕНЫЙ прозрачный ПВХ IP65 постоянное свечение 230В блок в комплекте NEON-NIGHT</t>
  </si>
  <si>
    <t>235-309-6</t>
  </si>
  <si>
    <t>4601004016453</t>
  </si>
  <si>
    <t>Гирлянда светодиодная Занавес 2х1,5м 192 LED МУЛЬТИКОЛОР прозрачный ПВХ IP65 постоянное свечение 230В блок в комплекте NEON-NIGHT</t>
  </si>
  <si>
    <t>235-303-6</t>
  </si>
  <si>
    <t>4601004016439</t>
  </si>
  <si>
    <t>Гирлянда светодиодная Занавес 2х1,5м 192 LED СИНИЙ прозрачный ПВХ IP65 постоянное свечение 230В блок в комплекте NEON-NIGHT</t>
  </si>
  <si>
    <t>245-309</t>
  </si>
  <si>
    <t>4601004090484</t>
  </si>
  <si>
    <t>Гирлянда светодиодная Занавес 2х1,5м 300 LED RGB прозрачный ПВХ IP65 для свечения с динамикой нужен контроллер 245-908 230В NEON-NIGHT</t>
  </si>
  <si>
    <t>235-305</t>
  </si>
  <si>
    <t>4601004003699</t>
  </si>
  <si>
    <t>Гирлянда светодиодная Занавес 2х1,5м 300 LED БЕЛЫЙ прозрачный ПВХ IP65 постоянное свечение 230В блок в комплекте NEON-NIGHT</t>
  </si>
  <si>
    <t>235-301</t>
  </si>
  <si>
    <t>4610003609429</t>
  </si>
  <si>
    <t>Гирлянда светодиодная Занавес 2х1,5м 300 LED ЖЕЛТЫЙ прозрачный ПВХ IP65 постоянное свечение 230В блок в комплекте NEON-NIGHT</t>
  </si>
  <si>
    <t>235-304</t>
  </si>
  <si>
    <t>4610003609450</t>
  </si>
  <si>
    <t>Гирлянда светодиодная Занавес 2х1,5м 360 LED ЗЕЛЕНЫЙ прозрачный ПВХ IP65 постоянное свечение 230В блок в комплекте NEON-NIGHT</t>
  </si>
  <si>
    <t>235-121</t>
  </si>
  <si>
    <t>4610003609573</t>
  </si>
  <si>
    <t>Гирлянда светодиодная Занавес 2х1,5м 360 LED ЖЕЛТЫЙ черный ПВХ IP65 постоянное свечение 230В блок в комплекте NEON-NIGHT</t>
  </si>
  <si>
    <t>235-124</t>
  </si>
  <si>
    <t>4610003609603</t>
  </si>
  <si>
    <t>Гирлянда светодиодная Занавес 2х1,5м 360 LED ЗЕЛЕНЫЙ черный ПВХ IP65 постоянное свечение 230В блок в комплекте NEON-NIGHT</t>
  </si>
  <si>
    <t>235-236</t>
  </si>
  <si>
    <t>4610003609900</t>
  </si>
  <si>
    <t>Гирлянда светодиодная Занавес 2х1,5м 360 LED ЗЕЛЕНЫЙ черный ПВХ IP65 эффект мерцания 230 В блок в комплекте NEON-NIGHT</t>
  </si>
  <si>
    <t>235-315-6</t>
  </si>
  <si>
    <t>4601004254992</t>
  </si>
  <si>
    <t>Гирлянда светодиодная Занавес 2х1,5м 192 LED БЕЛЫЙ прозрачный ПВХ IP65 эффект мерцания 230В блок в комплекте NEON-NIGHT</t>
  </si>
  <si>
    <t>235-316-6</t>
  </si>
  <si>
    <t>4601004255012</t>
  </si>
  <si>
    <t>Гирлянда светодиодная Занавес 2х1,5м 192 LED ТЕПЛЫЙ БЕЛЫЙ прозрачный ПВХ IP65 эффект мерцания 230В блок в комплекте NEON-NIGHT</t>
  </si>
  <si>
    <t>235-136-6</t>
  </si>
  <si>
    <t>4601004259898</t>
  </si>
  <si>
    <t>235-366</t>
  </si>
  <si>
    <t>4601004225152</t>
  </si>
  <si>
    <t>Гирлянда светодиодная Занавес 2х3м 600 LED ТЕПЛЫЙ БЕЛЫЙ белый ПВХ IP65 эффект мерцания 230В нужен блок 303-500-1</t>
  </si>
  <si>
    <t>235-155-6</t>
  </si>
  <si>
    <t>4601004015852</t>
  </si>
  <si>
    <t>235-156-6</t>
  </si>
  <si>
    <t>4601004015869</t>
  </si>
  <si>
    <t>Гирлянда светодиодная Занавес 2х3м 448 LED ТЕПЛЫЙ БЕЛЫЙ прозрачный ПВХ IP65 постоянное свечение 230В нужен блок 303-500-1 NEON-NIGHT</t>
  </si>
  <si>
    <t>235-135</t>
  </si>
  <si>
    <t>4601004003682</t>
  </si>
  <si>
    <t>Гирлянда светодиодная Занавес 2х3м 600 LED БЕЛЫЙ белый ПВХ IP65 постоянное свечение 230В нужен блок 303-500-1 NEON-NIGHT</t>
  </si>
  <si>
    <t>235-211</t>
  </si>
  <si>
    <t>4610003609207</t>
  </si>
  <si>
    <t>235-155</t>
  </si>
  <si>
    <t>4610003609405</t>
  </si>
  <si>
    <t>Гирлянда светодиодная Занавес 2х3м 600 LED БЕЛЫЙ прозрачный ПВХ IP65 постоянное свечение 230В нужен блок 303-500-1 NEON-NIGHT</t>
  </si>
  <si>
    <t>235-201</t>
  </si>
  <si>
    <t>4601004008793</t>
  </si>
  <si>
    <t>Гирлянда светодиодная Занавес 2х3м 600 LED БЕЛЫЙ черный ПВХ IP65 эффект мерцания 230В нужен блок 303-500 NEON-NIGHT</t>
  </si>
  <si>
    <t>235-136</t>
  </si>
  <si>
    <t>4610003609252</t>
  </si>
  <si>
    <t>Гирлянда светодиодная Занавес 2х3м 600 LED ТЕПЛЫЙ БЕЛЫЙ белый ПВХ IP65 постоянное свечение 230В нужен блок 303-500-1 NEON-NIGHT</t>
  </si>
  <si>
    <t>235-326</t>
  </si>
  <si>
    <t>4601004083677</t>
  </si>
  <si>
    <t>Гирлянда светодиодная Занавес 2х3м 600 LED ТЕПЛЫЙ БЕЛЫЙ прозрачный ПВХ IP65 эффект мерцания 230В нужен блок 303-500-1</t>
  </si>
  <si>
    <t>235-151-6</t>
  </si>
  <si>
    <t>4601004015807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</si>
  <si>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</si>
  <si>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</si>
  <si>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4601004015845</t>
  </si>
  <si>
    <t>Гирлянда светодиодная Занавес 2х3м 448 LED МУЛЬТИКОЛОР прозрачный ПВХ IP65 постоянное свечение 230В нужен блок 303-500-1 NEON-NIGHT</t>
  </si>
  <si>
    <t>235-153-6</t>
  </si>
  <si>
    <t>4601004015821</t>
  </si>
  <si>
    <t>Гирлянда светодиодная Занавес 2х3м 448 LED СИНИЙ прозрачный ПВХ IP65 постоянное свечение 230В нужен блок 303-500-1 NEON-NIGHT</t>
  </si>
  <si>
    <t>235-435</t>
  </si>
  <si>
    <t>4601004008779</t>
  </si>
  <si>
    <t>Гирлянда светодиодная Занавес 2х3м 240 LED БЕЛЫЙ прозрачный ПВХ IP65 эффект водопада 24В не соединяется трансформатор в комплекте NEON-NIGHT</t>
  </si>
  <si>
    <t>235-145</t>
  </si>
  <si>
    <t>4610003609504</t>
  </si>
  <si>
    <t>Гирлянда светодиодная Занавес 2х3м 760 LED БЕЛЫЙ черный ПВХ IP65 постоянное свечение 230В блок в комплекте NEON-NIGHT</t>
  </si>
  <si>
    <t>235-144</t>
  </si>
  <si>
    <t>4610003609498</t>
  </si>
  <si>
    <t>Гирлянда светодиодная Занавес 2х3м 760 LED ЗЕЛЕНЫЙ черный ПВХ IP65 постоянное свечение 230В блок в комплекте NEON-NIGHT</t>
  </si>
  <si>
    <t>235-143</t>
  </si>
  <si>
    <t>4601004003675</t>
  </si>
  <si>
    <t>Гирлянда светодиодная Занавес 2х3м 760 LED СИНИЙ черный ПВХ IP65 постоянное свечение 230В нужен блок 303-500 NEON-NIGHT</t>
  </si>
  <si>
    <t>235-135-6</t>
  </si>
  <si>
    <t>4601004259881</t>
  </si>
  <si>
    <t>Гирлянда светодиодная Занавес 2х3м 448 LED БЕЛЫЙ прозрачный ПВХ IP65 эффект мерцания 230В нужен блок 303-500-1 NEON-NIGHT</t>
  </si>
  <si>
    <t>235-296</t>
  </si>
  <si>
    <t>4601004225183</t>
  </si>
  <si>
    <t>Гирлянда светодиодная Занавес 2х6м 768 LED ТЕПЛЫЙ БЕЛЫЙ белый ПВХ IP65 постоянное свечение 230В блок в комплекте NEON-NIGHT</t>
  </si>
  <si>
    <t>235-396</t>
  </si>
  <si>
    <t>4601004225190</t>
  </si>
  <si>
    <t>Гирлянда светодиодная Занавес 2х6м 768 LED ТЕПЛЫЙ БЕЛЫЙ белый ПВХ IP65 эффект мерцания 230В блок в комплекте NEON-NIGHT</t>
  </si>
  <si>
    <t>235-386</t>
  </si>
  <si>
    <t>4601004225176</t>
  </si>
  <si>
    <t>Гирлянда светодиодная Занавес 2х6м 768 LED ТЕПЛЫЙ БЕЛЫЙ прозрачный ПВХ IP65 эффект мерцания 230В блок в комплекте NEON-NIGHT</t>
  </si>
  <si>
    <t>235-376</t>
  </si>
  <si>
    <t>4601004225169</t>
  </si>
  <si>
    <t>Гирлянда светодиодная Занавес 2х6м 768 LED ТЕПЛЫЙ БЕЛЫЙ черный ПВХ IP65 постоянное свечение 230В нужен блок 303-500 NEON-NIGHT</t>
  </si>
  <si>
    <t>235-175</t>
  </si>
  <si>
    <t>4610003609696</t>
  </si>
  <si>
    <t>Гирлянда светодиодная Занавес 2х6м 768 LED БЕЛЫЙ прозрачный ПВХ IP65 постоянное свечение 230В нужен блок 303-500-1 NEON-NIGHT</t>
  </si>
  <si>
    <t>235-165</t>
  </si>
  <si>
    <t>4610003609672</t>
  </si>
  <si>
    <t>Гирлянда светодиодная Занавес 2х6м 768 LED БЕЛЫЙ черный ПВХ IP65 постоянное свечение 230В нужен блок 303-500 NEON-NIGHT</t>
  </si>
  <si>
    <t>235-176</t>
  </si>
  <si>
    <t>4601004015166</t>
  </si>
  <si>
    <t>Гирлянда светодиодная Занавес 2х6м 768 LED ТЕПЛЫЙ БЕЛЫЙ прозрачный ПВХ IP65 постоянное свечение 230В нужен блок 303-500-1 NEON-NIGHT</t>
  </si>
  <si>
    <t>235-173</t>
  </si>
  <si>
    <t>4610003609689</t>
  </si>
  <si>
    <t>Гирлянда светодиодная Занавес 2х6м 768 LED СИНИЙ прозрачный ПВХ IP65 постоянное свечение 230В нужен блок 303-500-1 NEON-NIGHT</t>
  </si>
  <si>
    <t>235-465</t>
  </si>
  <si>
    <t>4601004016484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</si>
  <si>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</si>
  <si>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235-265</t>
  </si>
  <si>
    <t>4610003609368</t>
  </si>
  <si>
    <t>Гирлянда светодиодная Занавес 2х6м 1520 LED БЕЛЫЙ черный ПВХ IP65 эффект водопада 230В не соединяется контроллер в комплекте NEON-NIGHT</t>
  </si>
  <si>
    <t>235-263</t>
  </si>
  <si>
    <t>4610003609351</t>
  </si>
  <si>
    <t>Гирлянда светодиодная Занавес 2х6м 1520 LED СИНИЙ черный ПВХ IP65 эффект водопада 230В не соединяется блок в комплекте NEON-NIGHT</t>
  </si>
  <si>
    <t>235-195</t>
  </si>
  <si>
    <t>4601004015203</t>
  </si>
  <si>
    <t>Гирлянда светодиодная Занавес 2х9м 1200 LED БЕЛЫЙ прозрачный ПВХ IP65 постоянное свечение 230В блок в комплекте NEON-NIGHT</t>
  </si>
  <si>
    <t>235-196</t>
  </si>
  <si>
    <t>4601004015210</t>
  </si>
  <si>
    <t>Гирлянда светодиодная Занавес 2х9м 1200 LED ТЕПЛЫЙ БЕЛЫЙ прозрачный ПВХ IP65 постоянное свечение 230В блок в комплекте NEON-NIGHT</t>
  </si>
  <si>
    <t>235-696</t>
  </si>
  <si>
    <t>4601004302679</t>
  </si>
  <si>
    <t>235-495</t>
  </si>
  <si>
    <t>4601004058170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</si>
  <si>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</si>
  <si>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235-275</t>
  </si>
  <si>
    <t>4610003609993</t>
  </si>
  <si>
    <t>Гирлянда светодиодная Занавес 2х9м 2200 LED БЕЛЫЙ черный ПВХ IP65 эффект водопада 230В не соединяется блок в комплекте NEON-NIGHT</t>
  </si>
  <si>
    <t>235-187</t>
  </si>
  <si>
    <t>2000030961898</t>
  </si>
  <si>
    <t>Гирлянда светодиодная Занавес 2х9м 2200 LED КРАСНЫЙ черный ПВХ IP44 эффект мерцания 220В блок в комплекте NEON-NIGHT</t>
  </si>
  <si>
    <t>237-115</t>
  </si>
  <si>
    <t>4601004087545</t>
  </si>
  <si>
    <t>Гирлянда светодиодная Занавес 2х1,5м 360 LED БЕЛЫЙ белый КАУЧУК IP67 постоянное свечение 230В блок в комплекте NEON-NIGHT</t>
  </si>
  <si>
    <t>237-114</t>
  </si>
  <si>
    <t>4601004087538</t>
  </si>
  <si>
    <t>Гирлянда светодиодная Занавес 2х1,5м 360 LED ЗЕЛЕНЫЙ белый КАУЧУК IP67 постоянное свечение 230В блок в комплекте NEON-NIGHT</t>
  </si>
  <si>
    <t>237-113</t>
  </si>
  <si>
    <t>4601004087521</t>
  </si>
  <si>
    <t>Гирлянда светодиодная Занавес 2х1,5м 360 LED СИНИЙ белый КАУЧУК IP67 постоянное свечение 230В блок в комплекте NEON-NIGHT</t>
  </si>
  <si>
    <t>237-125</t>
  </si>
  <si>
    <t>4601004087606</t>
  </si>
  <si>
    <t>Гирлянда светодиодная Занавес 2х1,5м 360 LED БЕЛЫЙ черный КАУЧУК IP67 постоянное свечение 230В блок в комплекте NEON-NIGHT</t>
  </si>
  <si>
    <t>237-124</t>
  </si>
  <si>
    <t>4601004087590</t>
  </si>
  <si>
    <t>Гирлянда светодиодная Занавес 2х1,5м 360 LED ЗЕЛЕНЫЙ черный КАУЧУК IP67 постоянное свечение 230В блок в комплекте NEON-NIGHT</t>
  </si>
  <si>
    <t>237-122</t>
  </si>
  <si>
    <t>4601004087576</t>
  </si>
  <si>
    <t>Гирлянда светодиодная Занавес 2х1,5м 360 LED КРАСНЫЙ черный КАУЧУК IP67 постоянное свечение 230В блок в комплекте NEON-NIGHT</t>
  </si>
  <si>
    <t>237-145</t>
  </si>
  <si>
    <t>4601004003668</t>
  </si>
  <si>
    <t>Гирлянда светодиодная Занавес 2х3м 760 LED БЕЛЫЙ черный КАУЧУК IP67 постоянное свечение 230В блок в комплекте NEON-NIGHT</t>
  </si>
  <si>
    <t>237-165</t>
  </si>
  <si>
    <t>4601004015180</t>
  </si>
  <si>
    <t>Гирлянда Светодиодный Дождь 2х6м, постоянное свечение, черный провод КАУЧУК, 230 В, диоды БЕЛЫЕ (шнур питания в комплекте)</t>
  </si>
  <si>
    <t>255-025</t>
  </si>
  <si>
    <t>4601004025882</t>
  </si>
  <si>
    <t>255-023</t>
  </si>
  <si>
    <t>4601004025875</t>
  </si>
  <si>
    <t>Гирлянда светодиодная Бахрома (Айсикл) 1,8х0,5м 48 LED СИНИЙ белый ПВХ IP65 постоянное свечение 230В блок в комплекте NEON-NIGHT</t>
  </si>
  <si>
    <t>255-026</t>
  </si>
  <si>
    <t>4601004025899</t>
  </si>
  <si>
    <t>Гирлянда светодиодная Бахрома (Айсикл) 1,8х0,5м 48 LED ТЕПЛЫЙ БЕЛЫЙ белый ПВХ IP65 постоянное свечение 230В блок в комплекте NEON-NIGHT</t>
  </si>
  <si>
    <t>255-034-6</t>
  </si>
  <si>
    <t>4601004008892</t>
  </si>
  <si>
    <t>255-033-6</t>
  </si>
  <si>
    <t>4601004008885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</si>
  <si>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</si>
  <si>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</si>
  <si>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4601004015937</t>
  </si>
  <si>
    <t>255-034</t>
  </si>
  <si>
    <t>4601004001732</t>
  </si>
  <si>
    <t>Гирлянда светодиодная Бахрома (Айсикл) 2,4х0,6м 88 LED БЕЛЫЙ белый ПВХ IP65 постоянное свечение 230В блок в комплекте NEON-NIGHT</t>
  </si>
  <si>
    <t>255-036</t>
  </si>
  <si>
    <t>4601004003736</t>
  </si>
  <si>
    <t>255-055</t>
  </si>
  <si>
    <t>4601004083639</t>
  </si>
  <si>
    <t>Гирлянда светодиодная Бахрома (Айсикл) 2,4х0,6м 88 LED БЕЛЫЙ прозрачный ПВХ IP65 постоянное свечение 230В блок в комплекте NEON-NIGHT</t>
  </si>
  <si>
    <t>255-032</t>
  </si>
  <si>
    <t>4601004001749</t>
  </si>
  <si>
    <t>Гирлянда светодиодная Бахрома (Айсикл) 2,4х0,6м 88 LED БЕЛЫЙ черный ПВХ IP65 постоянное свечение 230В нужен блок 303-500 NEON-NIGHT</t>
  </si>
  <si>
    <t>255-044</t>
  </si>
  <si>
    <t>4601004083578</t>
  </si>
  <si>
    <t>Гирлянда светодиодная Бахрома (Айсикл) 2,4х0,6м 88 LED ЗЕЛЕНЫЙ черный ПВХ IP65 постоянное свечение 230В блок в комплекте NEON-NIGHT</t>
  </si>
  <si>
    <t>255-035</t>
  </si>
  <si>
    <t>4601004015913</t>
  </si>
  <si>
    <t>255-038</t>
  </si>
  <si>
    <t>4601004279360</t>
  </si>
  <si>
    <t>255-056</t>
  </si>
  <si>
    <t>4601004083646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</si>
  <si>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</si>
  <si>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255-046</t>
  </si>
  <si>
    <t>4601004083585</t>
  </si>
  <si>
    <t>Гирлянда светодиодная Бахрома (Айсикл) 2,4х0,6м 88 LED ТЕПЛЫЙ БЕЛЫЙ черный ПВХ IP65 постоянное свечение 230В блок в комплекте NEON-NIGHT</t>
  </si>
  <si>
    <t>255-137-6</t>
  </si>
  <si>
    <t>4601004008922</t>
  </si>
  <si>
    <t>255-136-6</t>
  </si>
  <si>
    <t>4601004008908</t>
  </si>
  <si>
    <t>255-138-6</t>
  </si>
  <si>
    <t>4601004015982</t>
  </si>
  <si>
    <t>245-209</t>
  </si>
  <si>
    <t>4601004090507</t>
  </si>
  <si>
    <t>Гирлянда светодиодная Бахрома (Айсикл) 4,8х0,6м 176 LED RGB прозрачный ПВХ IP65 свечение с динамикой 230В нужен контроллер 245-908 NEON-NIGHT</t>
  </si>
  <si>
    <t>245-208</t>
  </si>
  <si>
    <t>4601004279353</t>
  </si>
  <si>
    <t>Гирлянда светодиодная Бахрома (Айсикл) 4,8х0,6м 176 LED RGB черный ПВХ IP65 свечение с динамикой 230В нужен контроллер 245-908 NEON-NIGHT</t>
  </si>
  <si>
    <t>255-137</t>
  </si>
  <si>
    <t>4601004003651</t>
  </si>
  <si>
    <t>Гирлянда светодиодная Бахрома (Айсикл) 4,8х0,6м 176 LED БЕЛЫЙ белый ПВХ IP65 постоянное свечение 230В нужен блок 303-500-1 NEON-NIGHT</t>
  </si>
  <si>
    <t>255-165</t>
  </si>
  <si>
    <t>4601004095359</t>
  </si>
  <si>
    <t>255-145</t>
  </si>
  <si>
    <t>4601004003637</t>
  </si>
  <si>
    <t>Гирлянда светодиодная Бахрома (Айсикл) 4,8х0,6м 176 LED БЕЛЫЙ прозрачный ПВХ IP65 постоянное свечение 230В нужен блок 303-500-1 NEON-NIGHT</t>
  </si>
  <si>
    <t>255-135</t>
  </si>
  <si>
    <t>4601004003798</t>
  </si>
  <si>
    <t>Гирлянда светодиодная Бахрома (Айсикл) 4,8х0,6м 176 LED БЕЛЫЙ черный ПВХ IP65 постоянное свечение 230В нужен блок 303-500 NEON-NIGHT</t>
  </si>
  <si>
    <t>255-175</t>
  </si>
  <si>
    <t>4601004225206</t>
  </si>
  <si>
    <t>Гирлянда светодиодная Бахрома (Айсикл) 4,8х0,6м 176 LED БЕЛЫЙ черный ПВХ IP65 эффект мерцания 230В нужен блок 303-500 NEON-NIGHT</t>
  </si>
  <si>
    <t>255-131</t>
  </si>
  <si>
    <t>4601004015951</t>
  </si>
  <si>
    <t>Гирлянда светодиодная Бахрома (Айсикл) 4,8х0,6м 176 LED ЖЕЛТЫЙ черный ПВХ IP65 постоянное свечение 230В нужен блок 303-500 NEON-NIGHT</t>
  </si>
  <si>
    <t>255-164</t>
  </si>
  <si>
    <t>4601004095342</t>
  </si>
  <si>
    <t>Гирлянда светодиодная Бахрома (Айсикл) 4,8х0,6м 176 LED ЗЕЛЕНЫЙ белый ПВХ IP65 эффект мерцания 230В нужен блок 303-500-1 NEON-NIGHT</t>
  </si>
  <si>
    <t>255-136</t>
  </si>
  <si>
    <t>4601004003705</t>
  </si>
  <si>
    <t>Гирлянда светодиодная Бахрома (Айсикл) 4,8х0,6м 176 LED СИНИЙ белый ПВХ IP65 постоянное свечение 230В нужен блок 303-500-1 NEON-NIGHT</t>
  </si>
  <si>
    <t>255-163</t>
  </si>
  <si>
    <t>4601004095335</t>
  </si>
  <si>
    <t>Гирлянда светодиодная Бахрома (Айсикл) 4,8х0,6м 176 LED СИНИЙ белый ПВХ IP65 эффект мерцания 230В нужен блок 303-500-1 NEON-NIGHT</t>
  </si>
  <si>
    <t>255-143</t>
  </si>
  <si>
    <t>4601004016019</t>
  </si>
  <si>
    <t>Гирлянда светодиодная Бахрома (Айсикл) 4,8х0,6м 176 LED СИНИЙ прозрачный ПВХ IP65 постоянное свечение 230В нужен блок 303-500-1 NEON-NIGHT</t>
  </si>
  <si>
    <t>255-133</t>
  </si>
  <si>
    <t>4601004003620</t>
  </si>
  <si>
    <t>Гирлянда светодиодная Бахрома (Айсикл) 4,8х0,6м 176 LED СИНИЙ черный ПВХ IP65 постоянное свечение 230В нужен блок 303-500 NEON-NIGHT</t>
  </si>
  <si>
    <t>255-173</t>
  </si>
  <si>
    <t>4601004279377</t>
  </si>
  <si>
    <t>255-166</t>
  </si>
  <si>
    <t>4601004095366</t>
  </si>
  <si>
    <t>255-146</t>
  </si>
  <si>
    <t>4601004016033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</si>
  <si>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</si>
  <si>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255-156</t>
  </si>
  <si>
    <t>4601004083653</t>
  </si>
  <si>
    <t>Гирлянда светодиодная Бахрома (Айсикл) 4,8х0,6м 176 LED ТЕПЛЫЙ БЕЛЫЙ черный ПВХ IP65 постоянное свечение 230В нужен блок 303-500 NEON-NIGHT</t>
  </si>
  <si>
    <t>255-176</t>
  </si>
  <si>
    <t>4601004225213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</si>
  <si>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</si>
  <si>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255-185</t>
  </si>
  <si>
    <t>4601004303393</t>
  </si>
  <si>
    <t>Гирлянда светодиодная Бахрома (Айсикл) 4,8х0,6м 176 LED БЕЛЫЙ прозрачный ПВХ IP65 эффект мерцания 230В нужен шнур 303-500-1 NEON-NIGHT</t>
  </si>
  <si>
    <t>255-186</t>
  </si>
  <si>
    <t>4601004303379</t>
  </si>
  <si>
    <t>Гирлянда светодиодная Бахрома (Айсикл) 4,8х0,6м 176 LED ТЕПЛЫЙ БЕЛЫЙ прозрачный ПВХ IP65 эффект мерцания 230 нужен шнур 303-500-1 NEON-NIGHT</t>
  </si>
  <si>
    <t>255-216</t>
  </si>
  <si>
    <t>4601004180314</t>
  </si>
  <si>
    <t>Гирлянда светодиодная Бахрома (Айсикл) 3,2х0,9м 120 LED ТЕПЛЫЙ БЕЛЫЙ черный каучук 3,3мм IP67 постоянное свечение 230В нужен блок 315-000 NEON-NIGHT</t>
  </si>
  <si>
    <t>255-336</t>
  </si>
  <si>
    <t>4601004225084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</si>
  <si>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</si>
  <si>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255-456</t>
  </si>
  <si>
    <t>4601004302723</t>
  </si>
  <si>
    <t>Гирлянда светодиодная Бахрома (Айсикл), 3,2х0,9м, 120 LED ТЕПЛЫЙ БЕЛЫЙ, белый КАУЧУК 3,3мм, IP67, постоянное свечение, 230В NEON-NIGHT нужен шнур 315-001</t>
  </si>
  <si>
    <t>255-466</t>
  </si>
  <si>
    <t>4601004302662</t>
  </si>
  <si>
    <t>Гирлянда светодиодная Бахрома (Айсикл), 3,2х0,9м, 120 LED ТЕПЛЫЙ БЕЛЫЙ, белый КАУЧУК 3,3мм, IP67, эффект мерцания, 230В NEON-NIGHT нужен шнур 315-001</t>
  </si>
  <si>
    <t>255-205</t>
  </si>
  <si>
    <t>4601004087729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</si>
  <si>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</si>
  <si>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255-355</t>
  </si>
  <si>
    <t>4601004225091</t>
  </si>
  <si>
    <t>Гирлянда светодиодная Бахрома (Айсикл) 4,0х0,6м 128 LED БЕЛЫЙ белый каучук, 3,3мм IP67 эффект мерцания 230В нужен блок 315-001 NEON-NIGHT</t>
  </si>
  <si>
    <t>255-225</t>
  </si>
  <si>
    <t>4601004003712</t>
  </si>
  <si>
    <t>Гирлянда светодиодная Бахрома (Айсикл) 4,0х0,6м 128 LED БЕЛЫЙ черный каучук 3,3мм IP67 постоянное свечение 230В нужен блок 315-000 NEON-NIGHT</t>
  </si>
  <si>
    <t>255-235</t>
  </si>
  <si>
    <t>4601004089013</t>
  </si>
  <si>
    <t>255-201</t>
  </si>
  <si>
    <t>4601004087682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</si>
  <si>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</si>
  <si>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255-221</t>
  </si>
  <si>
    <t>4601004014701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</si>
  <si>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</si>
  <si>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255-231</t>
  </si>
  <si>
    <t>4601004089006</t>
  </si>
  <si>
    <t>Гирлянда светодиодная Бахрома (Айсикл) 4,0х0,6м 128 LED ЖЕЛТЫЙ черный каучук 2,3мм IP67 эффект мерцания 230В нужен блок 315-000 NEON-NIGHT</t>
  </si>
  <si>
    <t>255-203</t>
  </si>
  <si>
    <t>4601004087705</t>
  </si>
  <si>
    <t>Гирлянда светодиодная Бахрома (Айсикл) 4,0х0,6м 128 LED СИНИЙ белый каучук 2,3мм IP67 постоянное свечение 230В нужен блок 315-001 NEON-NIGHT</t>
  </si>
  <si>
    <t>255-353</t>
  </si>
  <si>
    <t>4601004254978</t>
  </si>
  <si>
    <t>Гирлянда светодиодная Бахрома (Айсикл) 4,0х0,6м 128 LED СИНИЙ белый каучук 2,3мм IP67 эффект мерцания 230В нужен блок 315-001 NEON-NIGHT</t>
  </si>
  <si>
    <t>255-223</t>
  </si>
  <si>
    <t>4601004003729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</si>
  <si>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</si>
  <si>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255-233</t>
  </si>
  <si>
    <t>4601004088993</t>
  </si>
  <si>
    <t>255-206</t>
  </si>
  <si>
    <t>4601004087736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</si>
  <si>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</si>
  <si>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255-356</t>
  </si>
  <si>
    <t>4601004225107</t>
  </si>
  <si>
    <t>255-226-6</t>
  </si>
  <si>
    <t>4601004280069</t>
  </si>
  <si>
    <t>255-236-6</t>
  </si>
  <si>
    <t>4601004280076</t>
  </si>
  <si>
    <t>255-226</t>
  </si>
  <si>
    <t>4601004014756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</si>
  <si>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</si>
  <si>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255-236</t>
  </si>
  <si>
    <t>4601004087828</t>
  </si>
  <si>
    <t>255-315</t>
  </si>
  <si>
    <t>4601004254930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</si>
  <si>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</si>
  <si>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255-365</t>
  </si>
  <si>
    <t>4601004254916</t>
  </si>
  <si>
    <t>255-376</t>
  </si>
  <si>
    <t>4601004254893</t>
  </si>
  <si>
    <t>255-386</t>
  </si>
  <si>
    <t>4601004254879</t>
  </si>
  <si>
    <t>255-316</t>
  </si>
  <si>
    <t>4601004180321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</si>
  <si>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</si>
  <si>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</si>
  <si>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4601004225220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</si>
  <si>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</si>
  <si>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255-285</t>
  </si>
  <si>
    <t>4601004087781</t>
  </si>
  <si>
    <t>255-265</t>
  </si>
  <si>
    <t>4601004033146</t>
  </si>
  <si>
    <t>Гирлянда светодиодная Бахрома (Айсикл) 5,6x0,9м 240 LED БЕЛЫЙ белый каучук 3,3мм IP67 эффект мерцания 230В нужен блок 315-001 NEON-NIGHT</t>
  </si>
  <si>
    <t>255-245</t>
  </si>
  <si>
    <t>4601004001756</t>
  </si>
  <si>
    <t>Гирлянда светодиодная Бахрома (Айсикл) 5,6x0,9м 240 LED БЕЛЫЙ черный каучук 3,3мм IP67 постоянное свечение 230В нужен блок 315-000 NEON-NIGHT</t>
  </si>
  <si>
    <t>255-255</t>
  </si>
  <si>
    <t>4601004014817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</si>
  <si>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</si>
  <si>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</si>
  <si>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4601004014763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</si>
  <si>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</si>
  <si>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255-242</t>
  </si>
  <si>
    <t>4601004014770</t>
  </si>
  <si>
    <t>Гирлянда светодиодная Бахрома (Айсикл) 5,6x0,9м 240 LED КРАСНЫЙ черный каучук, IP67 3,3мм постоянное свечение 230В блок в комплекте NEON-NIGHT</t>
  </si>
  <si>
    <t>255-263</t>
  </si>
  <si>
    <t>4601004302693</t>
  </si>
  <si>
    <t>Гирлянда светодиодная Бахрома (Айсикл), 5,6x0,9м, 240 LED СИНИЙ, белый КАУЧУК 2,3мм, IP67, эффект мерцания, 230В NEON-NIGHT нужен шнур 315-001</t>
  </si>
  <si>
    <t>255-283</t>
  </si>
  <si>
    <t>4601004087767</t>
  </si>
  <si>
    <t>Гирлянда светодиодная Бахрома (Айсикл) 5,6x0,9м 240 LED СИНИЙ белый каучук 2,3мм IP67 постоянное свечение 230В нужен блок 315-001 NEON-NIGHT</t>
  </si>
  <si>
    <t>255-253</t>
  </si>
  <si>
    <t>4601004033139</t>
  </si>
  <si>
    <t>Гирлянда светодиодная Бахрома (Айсикл) 5,6x0,9м 240 LED СИНИЙ черный каучук 2,3мм IP67 эффект мерцания 230В нужен блок 315-000 NEON-NIGHT</t>
  </si>
  <si>
    <t>255-243</t>
  </si>
  <si>
    <t>4601004003644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</si>
  <si>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</si>
  <si>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255-286</t>
  </si>
  <si>
    <t>4601004087798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</si>
  <si>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</si>
  <si>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255-266</t>
  </si>
  <si>
    <t>4601004033153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</si>
  <si>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</si>
  <si>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255-246</t>
  </si>
  <si>
    <t>4601004014800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</si>
  <si>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</si>
  <si>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255-256</t>
  </si>
  <si>
    <t>4601004014824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</si>
  <si>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</si>
  <si>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215-011</t>
  </si>
  <si>
    <t>4601004001558</t>
  </si>
  <si>
    <t>Гирлянда светодиодная Сеть 2х0,7м 176 LED БЕЛЫЙ черный ПВХ IP65 свечение с динамикой 230В контроллер в комплекте NEON-NIGHT</t>
  </si>
  <si>
    <t>215-012</t>
  </si>
  <si>
    <t>4601004013247</t>
  </si>
  <si>
    <t>Гирлянда светодиодная Сеть 2х0,7м 176 LED БЕЛЫЙ/СИНИЙ черный ПВХ IP65 свечение с динамикой 230В контроллер в комплекте NEON-NIGHT</t>
  </si>
  <si>
    <t>215-013</t>
  </si>
  <si>
    <t>4601004001565</t>
  </si>
  <si>
    <t>Гирлянда светодиодная Сеть 2х0,7м 176 LED КРАСНЫЙ/СИНИЙ черный ПВХ IP65 свечение с динамикой 230В контроллер в комплекте NEON-NIGHT</t>
  </si>
  <si>
    <t>215-045</t>
  </si>
  <si>
    <t>4601004092259</t>
  </si>
  <si>
    <t>Гирлянда светодиодная Сеть 2х1,5м 288 LED БЕЛЫЙ прозрачный ПВХ IP65 свечение с динамикой 230В блок в комплекте NEON-NIGHT</t>
  </si>
  <si>
    <t>215-043</t>
  </si>
  <si>
    <t>4601004092235</t>
  </si>
  <si>
    <t>Гирлянда светодиодная Сеть 2х1,5м 288 LED СИНИЙ прозрачный ПВХ IP65 свечение с динамикой 230В блок в комплекте NEON-NIGHT</t>
  </si>
  <si>
    <t>215-046</t>
  </si>
  <si>
    <t>4601004092266</t>
  </si>
  <si>
    <t>Гирлянда светодиодная Сеть 2х1,5м 288 LED ТЕПЛЫЙ БЕЛЫЙ прозрачный ПВХ IP65 свечение с динамикой 230В блок в комплекте NEON-NIGHT</t>
  </si>
  <si>
    <t>215-021</t>
  </si>
  <si>
    <t>4601004001589</t>
  </si>
  <si>
    <t>Гирлянда светодиодная Сеть 2х1,5м 288 LED БЕЛЫЙ черный ПВХ IP65 свечение с динамикой 230В блок в комплекте NEON-NIGHT</t>
  </si>
  <si>
    <t>215-022</t>
  </si>
  <si>
    <t>4601004001596</t>
  </si>
  <si>
    <t>Гирлянда светодиодная Сеть 2х1,5м 288 LED БЕЛЫЙ/СИНИЙ черный ПВХ IP65 свечение с динамикой 230В контроллер в комплекте NEON-NIGHT</t>
  </si>
  <si>
    <t>215-023</t>
  </si>
  <si>
    <t>4601004001572</t>
  </si>
  <si>
    <t>Гирлянда светодиодная Сеть 2х1,5м 288 LED КРАСНЫЙ/СИНИЙ черный ПВХ IP65 свечение с динамикой 230В контроллер в комплекте NEON-NIGHT</t>
  </si>
  <si>
    <t>215-029</t>
  </si>
  <si>
    <t>4601004001602</t>
  </si>
  <si>
    <t>Гирлянда светодиодная Сеть 2х1,5м 288 LED МУЛЬТИ черный ПВХ IP65 постоянное свечение 230В контроллер в комплекте NEON-NIGHT</t>
  </si>
  <si>
    <t>215-026</t>
  </si>
  <si>
    <t>4601004092273</t>
  </si>
  <si>
    <t>Гирлянда светодиодная Сеть 2х1,5м 288 LED ТЕПЛЫЙ БЕЛЫЙ черный ПВХ IP65 свечение с динамикой блок в комплекте NEON-NIGHT</t>
  </si>
  <si>
    <t>215-115</t>
  </si>
  <si>
    <t>4601004086203</t>
  </si>
  <si>
    <t>Гирлянда светодиодная Сеть 1х1,5м 160 LED БЕЛЫЙ черный ПВХ IP65 свечение с динамикой 230В блок в комплекте NEON-NIGHT</t>
  </si>
  <si>
    <t>215-119</t>
  </si>
  <si>
    <t>4601004002104</t>
  </si>
  <si>
    <t>Гирлянда светодиодная Сеть 1х1,5м 160 LED МУЛЬТИ черный ПВХ IP65 свечение с динамикой 230В контроллер в комплекте NEON-NIGHT</t>
  </si>
  <si>
    <t>215-116</t>
  </si>
  <si>
    <t>4601004086210</t>
  </si>
  <si>
    <t>Гирлянда светодиодная Сеть 1х1,5м 160 LED ТЕПЛЫЙ БЕЛЫЙ черный ПВХ IP65 свечение с динамикой 230В блок в комплекте NEON-NIGHT</t>
  </si>
  <si>
    <t>215-055</t>
  </si>
  <si>
    <t>4601004257474</t>
  </si>
  <si>
    <t>Гирлянда светодиодная Сеть треугольная 1,5х2х2м 136 LED БЕЛЫЙ прозрачный ПВХ IP65 свечение с динамикой 230В контроллер в комплекте NEON-NIGHT</t>
  </si>
  <si>
    <t>215-059</t>
  </si>
  <si>
    <t>4601004257498</t>
  </si>
  <si>
    <t>Гирлянда светодиодная Сеть треугольная 1,5х2х2м 136 LED МУЛЬТИ прозрачный ПВХ IP65 свечение с динамикой 230В контроллер в комплекте NEON-NIGHT</t>
  </si>
  <si>
    <t>215-056</t>
  </si>
  <si>
    <t>4601004257481</t>
  </si>
  <si>
    <t>Гирлянда светодиодная Сеть треугольная 1,5х2х2м 136 LED ТЕПЛЫЙ БЕЛЫЙ прозрачный ПВХ IP65 свечение с динамикой 230В контроллер в комплекте NEON-NIGHT</t>
  </si>
  <si>
    <t>215-005</t>
  </si>
  <si>
    <t>4601004093089</t>
  </si>
  <si>
    <t>Гирлянда светодиодная Сеть треугольная 1,5х2х2м 136 LED БЕЛЫЙ черный ПВХ IP65 свечение с динамикой 230В блок в комплекте NEON-NIGHT</t>
  </si>
  <si>
    <t>215-009</t>
  </si>
  <si>
    <t>4601004093102</t>
  </si>
  <si>
    <t>Гирлянда светодиодная Сеть треугольная 1,5х2х2м 136 LED МУЛЬТИ черный ПВХ IP65 свечение с динамикой 230В контроллер в комплекте NEON-NIGHT</t>
  </si>
  <si>
    <t>215-006</t>
  </si>
  <si>
    <t>4601004093096</t>
  </si>
  <si>
    <t>Гирлянда светодиодная Сеть треугольная 1,5х2х2м 136 LED ТЕПЛЫЙ БЕЛЫЙ черный ПВХ IP65 свечение с динамикой 230В контроллер в комплекте NEON-NIGHT</t>
  </si>
  <si>
    <t>215-031</t>
  </si>
  <si>
    <t>4601004013254</t>
  </si>
  <si>
    <t>Гирлянда светодиодная Сеть 2,5х2,5м 432 LED БЕЛЫЙ черный ПВХ IP65 свечение с динамикой 230В контроллер в комплекте NEON-NIGHT</t>
  </si>
  <si>
    <t>215-032</t>
  </si>
  <si>
    <t>4601004003743</t>
  </si>
  <si>
    <t>Гирлянда светодиодная Сеть 2,5х2,5м 432 LED БЕЛЫЙ/СИНИЙ черный ПВХ IP65 постоянное свечение 230В блок в комплекте NEON-NIGHT</t>
  </si>
  <si>
    <t>215-033</t>
  </si>
  <si>
    <t>4601004003750</t>
  </si>
  <si>
    <t>Гирлянда светодиодная Сеть 2,5х2,5м 432 LED КРАСНЫЙ/СИНИЙ черный ПВХ IP65 свечение с динамикой 230В контроллер в комплекте NEON-NIGHT</t>
  </si>
  <si>
    <t>217-115</t>
  </si>
  <si>
    <t>4601004012509</t>
  </si>
  <si>
    <t>Гирлянда светодиодная Сеть 2x1,5м 288 LED БЕЛЫЙ черный каучук IP67 постоянное свечение 230В блок в комплекте NEON-NIGHT</t>
  </si>
  <si>
    <t>217-119</t>
  </si>
  <si>
    <t>4601004012516</t>
  </si>
  <si>
    <t>Гирлянда светодиодная Сеть 2x1,5м 288 LED МУЛЬТИ черный каучук IP67 постоянное свечение 230В блок в комплекте NEON-NIGHT</t>
  </si>
  <si>
    <t>217-145</t>
  </si>
  <si>
    <t>4601004087477</t>
  </si>
  <si>
    <t>Гирлянда светодиодная Сеть 2x3м 432 LED БЕЛЫЙ белый каучук IP67 постоянное свечение 230В блок в комплекте NEON-NIGHT</t>
  </si>
  <si>
    <t>217-146</t>
  </si>
  <si>
    <t>4601004087484</t>
  </si>
  <si>
    <t>Гирлянда светодиодная Сеть 2x3м 432 LED ТЕПЛЫЙ БЕЛЫЙ белый каучук IP67 постоянное свечение 230В блок в комплекте NEON-NIGHT</t>
  </si>
  <si>
    <t>217-125</t>
  </si>
  <si>
    <t>4601004012530</t>
  </si>
  <si>
    <t>Гирлянда светодиодная Сеть 2x3м 432 LED БЕЛЫЙ черный каучук IP67 постоянное свечение 230В блок в комплекте NEON-NIGHT</t>
  </si>
  <si>
    <t>217-129</t>
  </si>
  <si>
    <t>4601004012554</t>
  </si>
  <si>
    <t>Гирлянда светодиодная Сеть 2x3м 432 LED МУЛЬТИ черный каучук IP67 постоянное свечение 230В блок в комплекте NEON-NIGHT</t>
  </si>
  <si>
    <t>217-126</t>
  </si>
  <si>
    <t>4601004012547</t>
  </si>
  <si>
    <t>Гирлянда светодиодная Сеть 2x3м 432 LED ТЕПЛЫЙ БЕЛЫЙ черный каучук IP67 постоянное свечение 230В блок в комплекте NEON-NIGHT</t>
  </si>
  <si>
    <t>217-135</t>
  </si>
  <si>
    <t>4601004012578</t>
  </si>
  <si>
    <t>Гирлянда Сеть 2x4м, черный КАУЧУК, 560 LED Белые (шнур питания в комплекте)</t>
  </si>
  <si>
    <t>217-133</t>
  </si>
  <si>
    <t>4601004012561</t>
  </si>
  <si>
    <t>Гирлянда Сеть 2x4м, черный КАУЧУК, 560 LED Белые/Синие (шнур питания в комплекте)</t>
  </si>
  <si>
    <t>303-500-1</t>
  </si>
  <si>
    <t>4601004097124</t>
  </si>
  <si>
    <t>303-500</t>
  </si>
  <si>
    <t>4601004015715</t>
  </si>
  <si>
    <t>531-311</t>
  </si>
  <si>
    <t>4601004310230</t>
  </si>
  <si>
    <t>Блок питания (трансформатор) для уличных гирлянд 24В, 40Вт, алюминиевый корпус, IP65 NEON-NIGHT</t>
  </si>
  <si>
    <t>531-312</t>
  </si>
  <si>
    <t>4601004310247</t>
  </si>
  <si>
    <t>Блок питания (трансформатор) для уличных гирлянд 24В, 60Вт, алюминиевый корпус, IP65 NEON-NIGHT</t>
  </si>
  <si>
    <t>315-001</t>
  </si>
  <si>
    <t>4601004225060</t>
  </si>
  <si>
    <t>315-000</t>
  </si>
  <si>
    <t>4601004087958</t>
  </si>
  <si>
    <t>315-004</t>
  </si>
  <si>
    <t>4601004277830</t>
  </si>
  <si>
    <t>315-003</t>
  </si>
  <si>
    <t>4601004277823</t>
  </si>
  <si>
    <t>305-165</t>
  </si>
  <si>
    <t>4601004092532</t>
  </si>
  <si>
    <t>Гирлянда светодиодная Нить 10м 100 LED БЕЛЫЙ белый ПВХ IP65 постоянное свечение 230В соединяется NEON-NIGHT нужен шнур 303-500-1</t>
  </si>
  <si>
    <t>305-135</t>
  </si>
  <si>
    <t>4601004092327</t>
  </si>
  <si>
    <t>Гирлянда светодиодная Нить 10м 100 LED БЕЛЫЙ белый ПВХ IP65 постоянное свечение 24В соединяется NEON-NIGHT нужен трансформатор 531-100/531-311/531-312</t>
  </si>
  <si>
    <t>305-162</t>
  </si>
  <si>
    <t>4601004092501</t>
  </si>
  <si>
    <t>Гирлянда светодиодная Нить 10м 100 LED КРАСНЫЙ белый ПВХ IP65 постоянное свечение 230В соединяется NEON-NIGHT нужен шнур 303-500-1</t>
  </si>
  <si>
    <t>305-169</t>
  </si>
  <si>
    <t>4601004092556</t>
  </si>
  <si>
    <t>Гирлянда светодиодная Нить 10м 100 LED МУЛЬТИКОЛОР белый ПВХ IP65 постоянное свечение 230В соединяется NEON-NIGHT нужен шнур 303-500-1</t>
  </si>
  <si>
    <t>305-163</t>
  </si>
  <si>
    <t>4601004092518</t>
  </si>
  <si>
    <t>Гирлянда светодиодная Нить 10м 100 LED СИНИЙ белый ПВХ IP65 постоянное свечение 230В соединяется NEON-NIGHT нужен шнур 303-500-1</t>
  </si>
  <si>
    <t>305-166</t>
  </si>
  <si>
    <t>4601004092549</t>
  </si>
  <si>
    <t>Гирлянда светодиодная Нить 10м 100 LED ТЕПЛЫЙ БЕЛЫЙ IP65 белый ПВХ постоянное свечение 230В соединяется NEON-NIGHT нужен шнур 303-500-1</t>
  </si>
  <si>
    <t>305-136</t>
  </si>
  <si>
    <t>4601004092334</t>
  </si>
  <si>
    <t>Гирлянда светодиодная Нить 10м 100 LED ТЕПЛЫЙ БЕЛЫЙ IP65 белый ПВХ постоянное свечение 24В соединяется NEON-NIGHT нужен транс-ор 531-100/531-311/531-312</t>
  </si>
  <si>
    <t>305-185</t>
  </si>
  <si>
    <t>4601004092679</t>
  </si>
  <si>
    <t>Гирлянда светодиодная Нить 10м 100 LED БЕЛЫЙ прозрачный ПВХ IP65 постоянное свечение 230В соединяется NEON-NIGHT нужен шнур 303-500-1</t>
  </si>
  <si>
    <t>305-155</t>
  </si>
  <si>
    <t>4601004092464</t>
  </si>
  <si>
    <t>Гирлянда светодиодная Нить 10м 100 LED БЕЛЫЙ прозрачный ПВХ IP65 постоянное свечение 24В соединяется NEON-NIGHT нужен трансформатор 531-100/531-311/531-312</t>
  </si>
  <si>
    <t>305-181</t>
  </si>
  <si>
    <t>4601004092631</t>
  </si>
  <si>
    <t>Гирлянда светодиодная Нить 10м 100 LED ЖЕЛТЫЙ прозрачный ПВХ IP65 постоянное свечение 230В соединяется NEON-NIGHT нужен шнур 303-500-1</t>
  </si>
  <si>
    <t>305-151</t>
  </si>
  <si>
    <t>4601004092426</t>
  </si>
  <si>
    <t>Гирлянда светодиодная Нить 10м 100 LED ЖЕЛТЫЙ прозрачный ПВХ IP65 постоянное свечение 24В соединяется NEON-NIGHT нужен трансформатор 531-100/531-311/531-312</t>
  </si>
  <si>
    <t>305-184</t>
  </si>
  <si>
    <t>4601004092662</t>
  </si>
  <si>
    <t>Гирлянда светодиодная Нить 10м 100 LED ЗЕЛЕНЫЙ прозрачный ПВХ IP65 постоянное свечение 230В соединяется NEON-NIGHT нужен шнур 303-500-1</t>
  </si>
  <si>
    <t>305-182</t>
  </si>
  <si>
    <t>4601004092648</t>
  </si>
  <si>
    <t>Гирлянда светодиодная Нить 10м 100 LED КРАСНЫЙ прозрачный ПВХ IP65 постоянное свечение 230В соединяется NEON-NIGHT нужен шнур 303-500-1</t>
  </si>
  <si>
    <t>305-189</t>
  </si>
  <si>
    <t>4601004092693</t>
  </si>
  <si>
    <t>Гирлянда светодиодная Нить 10м 100 LED МУЛЬТИКОЛОР прозрачный ПВХ IP65 постоянное свечение 230В соединяется NEON-NIGHT нужен шнур 303-500-1</t>
  </si>
  <si>
    <t>305-159</t>
  </si>
  <si>
    <t>4601004092488</t>
  </si>
  <si>
    <t>Гирлянда светодиодная Нить 10м 100 LED МУЛЬТИКОЛОР прозрачный ПВХ IP65 постоянное свечение 24В соединяется NEON-NIGHT нужен транс-ор 531-100/531-311/531-312</t>
  </si>
  <si>
    <t>305-183</t>
  </si>
  <si>
    <t>4601004092655</t>
  </si>
  <si>
    <t>Гирлянда светодиодная Нить 10м 100 LED СИНИЙ прозрачный ПВХ IP65 постоянное свечение 230В соединяется NEON-NIGHT нужен шнур 303-500-1</t>
  </si>
  <si>
    <t>305-186</t>
  </si>
  <si>
    <t>4601004092686</t>
  </si>
  <si>
    <t>Гирлянда светодиодная Нить 10м 100 LED ТЕПЛЫЙ БЕЛЫЙ прозрачный ПВХ IP65 постоянное свечение 230В соединяется NEON-NIGHT нужен шнур 303-500-1</t>
  </si>
  <si>
    <t>305-156</t>
  </si>
  <si>
    <t>4601004092471</t>
  </si>
  <si>
    <t>Гирлянда светодиодная Нить 10м 100 LED ТЕПЛЫЙ БЕЛЫЙ прозрачный ПВХ IP65 постоянное свечение 24В соединяется NEON-NIGHT нужен транс-ор 531-100/531-311/531-312</t>
  </si>
  <si>
    <t>305-195</t>
  </si>
  <si>
    <t>4601004180567</t>
  </si>
  <si>
    <t>Гирлянда светодиодная Нить 10м 200 LED БЕЛЫЙ прозрачный ПВХ IP65 постоянное свечение 230В соединяется NEON-NIGHT нужен шнур 303-500-1</t>
  </si>
  <si>
    <t>305-196</t>
  </si>
  <si>
    <t>4601004180581</t>
  </si>
  <si>
    <t>Гирлянда светодиодная Нить 10м 200 LED ТЕПЛЫЙ БЕЛЫЙ прозрачный ПВХ IP65 постоянное свечение 230В соединяется NEON-NIGHT нужен шнур 303-500-1</t>
  </si>
  <si>
    <t>305-175</t>
  </si>
  <si>
    <t>4601004092600</t>
  </si>
  <si>
    <t>Гирлянда светодиодная Нить 10м 100 LED БЕЛЫЙ черный ПВХ IP65 постоянное свечение 230В соединяется NEON-NIGHT нужен шнур 303-500</t>
  </si>
  <si>
    <t>305-145</t>
  </si>
  <si>
    <t>4601004092396</t>
  </si>
  <si>
    <t>Гирлянда светодиодная Нить 10м 100 LED БЕЛЫЙ черный ПВХ IP65 постоянное свечение 24В соединяется NEON-NIGHT нужен трансформатор 531-100/531-311/531-312</t>
  </si>
  <si>
    <t>305-171</t>
  </si>
  <si>
    <t>4601004092563</t>
  </si>
  <si>
    <t>Гирлянда светодиодная Нить 10м 100 LED ЖЕЛТЫЙ черный ПВХ IP65 постоянное свечение 230В соединяется NEON-NIGHT нужен шнур 303-500</t>
  </si>
  <si>
    <t>305-179</t>
  </si>
  <si>
    <t>4601004092624</t>
  </si>
  <si>
    <t>Гирлянда светодиодная Нить 10м 100 LED МУЛЬТИКОЛОР черный ПВХ IP65 постоянное свечение 230В соединяется NEON-NIGHT нужен шнур 303-500</t>
  </si>
  <si>
    <t>305-173</t>
  </si>
  <si>
    <t>4601004092587</t>
  </si>
  <si>
    <t>Гирлянда светодиодная Нить 10м 100 LED СИНИЙ черный ПВХ IP65 постоянное свечение 230В соединяется NEON-NIGHT нужен шнур 303-500</t>
  </si>
  <si>
    <t>305-176</t>
  </si>
  <si>
    <t>4601004092617</t>
  </si>
  <si>
    <t>Гирлянда светодиодная Нить 10м 100 LED ТЕПЛЫЙ БЕЛЫЙ черный ПВХ IP65 постоянное свечение 230В соединяется NEON-NIGHT нужен шнур 303-500</t>
  </si>
  <si>
    <t>Fairy Light Technology Co., Ltd, №7 Fengsui Street, West District, Zhongshan, Guangdong, China</t>
  </si>
  <si>
    <t>305-146</t>
  </si>
  <si>
    <t>4601004092402</t>
  </si>
  <si>
    <t>Гирлянда светодиодная Нить 10м 100 LED ТЕПЛЫЙ БЕЛЫЙ черный ПВХ IP65 постоянное свечение 24В соединяется NEON-NIGHT нужен транс-ор 531-100/531-311/531-312</t>
  </si>
  <si>
    <t>315-125</t>
  </si>
  <si>
    <t>4601004016774</t>
  </si>
  <si>
    <t>Гирлянда светодиодная Нить 20м 200 LED БЕЛЫЙ белый ПВХ IP65 постоянное свечение 24В соединяется NEON-NIGHT трансформатор в комплекте</t>
  </si>
  <si>
    <t>305-266</t>
  </si>
  <si>
    <t>4601004092938</t>
  </si>
  <si>
    <t>Гирлянда светодиодная Нить 10м 100 LED ТЕПЛЫЙ БЕЛЫЙ белый ПВХ IP65 эффект мерцания 230В соединяется NEON-NIGHT нужен шнур 303-500-1</t>
  </si>
  <si>
    <t>305-281</t>
  </si>
  <si>
    <t>4601004093126</t>
  </si>
  <si>
    <t>Гирлянда светодиодная Нить 10м 100 LED ЖЕЛТЫЙ прозрачный ПВХ IP65 эффект мерцания 230В соединяется NEON-NIGHT нужен шнур 303-500-1</t>
  </si>
  <si>
    <t>305-275</t>
  </si>
  <si>
    <t>4601004092983</t>
  </si>
  <si>
    <t>Гирлянда светодиодная Нить 10м 100 LED БЕЛЫЙ черный ПВХ IP65 эффект мерцания 230В соединяется NEON-NIGHT нужен шнур 303-500</t>
  </si>
  <si>
    <t>305-271</t>
  </si>
  <si>
    <t>4601004092945</t>
  </si>
  <si>
    <t>Гирлянда светодиодная Нить 10м 100 LED ЖЕЛТЫЙ черный ПВХ IP65 эффект мерцания 230В соединяется NEON-NIGHT нужен шнур 303-500</t>
  </si>
  <si>
    <t>305-273</t>
  </si>
  <si>
    <t>4601004092969</t>
  </si>
  <si>
    <t>Гирлянда светодиодная Нить 10м 100 LED СИНИЙ черный ПВХ IP65 эффект мерцания 230В соединяется NEON-NIGHT нужен шнур 303-500</t>
  </si>
  <si>
    <t>305-276</t>
  </si>
  <si>
    <t>4601004092990</t>
  </si>
  <si>
    <t>Гирлянда светодиодная Нить 10м 100 LED ТЕПЛЫЙ БЕЛЫЙ черный ПВХ IP65 эффект мерцания 230В соединяется NEON-NIGHT нужен шнур 303-500</t>
  </si>
  <si>
    <t>305-265</t>
  </si>
  <si>
    <t>4601004092921</t>
  </si>
  <si>
    <t>Гирлянда светодиодная Нить 10м 100 LED БЕЛЫЙ белый ПВХ IP65 эффект мерцания 230В соединяется NEON-NIGHT нужен шнур 303-500-1</t>
  </si>
  <si>
    <t>305-235</t>
  </si>
  <si>
    <t>4601004092747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</si>
  <si>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</si>
  <si>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305-262</t>
  </si>
  <si>
    <t>4601004092891</t>
  </si>
  <si>
    <t>Гирлянда светодиодная Нить 10м 100 LED КРАСНЫЙ белый ПВХ IP65 эффект мерцания 230В соединяется NEON-NIGHT нужен шнур 303-500-1</t>
  </si>
  <si>
    <t>305-263</t>
  </si>
  <si>
    <t>4601004092907</t>
  </si>
  <si>
    <t>Гирлянда светодиодная Нить 10м 100 LED СИНИЙ белый ПВХ IP65 эффект мерцания 230В соединяется NEON-NIGHT нужен шнур 303-500-1</t>
  </si>
  <si>
    <t>305-233</t>
  </si>
  <si>
    <t>4601004092723</t>
  </si>
  <si>
    <t>Гирлянда светодиодная Нить 10м 100 LED СИНИЙ белый ПВХ IP65 эффект мерцания 24В соединяется NEON-NIGHT нужен трансформатор 531-100/531-311/531-312</t>
  </si>
  <si>
    <t>305-236</t>
  </si>
  <si>
    <t>4601004092754</t>
  </si>
  <si>
    <t>305-285</t>
  </si>
  <si>
    <t>4601004093034</t>
  </si>
  <si>
    <t>Гирлянда светодиодная Нить 10м 100 LED БЕЛЫЙ прозрачный ПВХ IP65 эффект мерцания 230В соединяется NEON-NIGHT нужен шнур 303-500-1</t>
  </si>
  <si>
    <t>305-255</t>
  </si>
  <si>
    <t>4601004092860</t>
  </si>
  <si>
    <t>Гирлянда светодиодная Нить 10м 100 LED БЕЛЫЙ прозрачный ПВХ IP65 эффект мерцания 24В соединяется NEON-NIGHT нужен трансформатор 531-100/531-311/531-312</t>
  </si>
  <si>
    <t>305-251</t>
  </si>
  <si>
    <t>4601004092822</t>
  </si>
  <si>
    <t>Гирлянда светодиодная Нить 10м 100 LED ЖЕЛТЫЙ прозрачный ПВХ IP65 эффект мерцания 24В соединяется NEON-NIGHT нужен трансформатор 531-100/531-311/531-312</t>
  </si>
  <si>
    <t>305-284</t>
  </si>
  <si>
    <t>4601004093027</t>
  </si>
  <si>
    <t>Гирлянда светодиодная Нить 10м 100 LED ЗЕЛЕНЫЙ прозрачный ПВХ IP65 эффект мерцания 230В соединяется NEON-NIGHT нужен шнур 303-500-1</t>
  </si>
  <si>
    <t>305-254</t>
  </si>
  <si>
    <t>4601004092853</t>
  </si>
  <si>
    <t>Гирлянда светодиодная Нить 10м 100 LED ЗЕЛЕНЫЙ прозрачный ПВХ IP65 эффект мерцания 24В соединяется NEON-NIGHT нужен трансформатор 531-100/531-311/531-312</t>
  </si>
  <si>
    <t>305-282</t>
  </si>
  <si>
    <t>4601004093003</t>
  </si>
  <si>
    <t>Гирлянда светодиодная Нить 10м 100 LED КРАСНЫЙ прозрачный ПВХ IP65 эффект мерцания 230В соединяется NEON-NIGHT нужен шнур 303-500-1</t>
  </si>
  <si>
    <t>305-283</t>
  </si>
  <si>
    <t>4601004093010</t>
  </si>
  <si>
    <t>Гирлянда светодиодная Нить 10м 100 LED СИНИЙ прозрачный ПВХ IP65 эффект мерцания 230В соединяется NEON-NIGHT нужен шнур 303-500-1</t>
  </si>
  <si>
    <t>305-253</t>
  </si>
  <si>
    <t>4601004092846</t>
  </si>
  <si>
    <t>Гирлянда светодиодная Нить 10м 100 LED СИНИЙ прозрачный ПВХ IP65 эффект мерцания 24В соединяется NEON-NIGHT нужен трансформатор 531-100/531-311/531-312</t>
  </si>
  <si>
    <t>305-286</t>
  </si>
  <si>
    <t>4601004093041</t>
  </si>
  <si>
    <t>Гирлянда светодиодная Нить 10м 100 LED ТЕПЛЫЙ БЕЛЫЙ прозрачный ПВХ IP65 эффект мерцания 230В соединяется NEON-NIGHT нужен шнур 303-500-1</t>
  </si>
  <si>
    <t>305-256</t>
  </si>
  <si>
    <t>4601004092877</t>
  </si>
  <si>
    <t>Гирлянда светодиодная Нить 10м 100 LED ТЕПЛЫЙ БЕЛЫЙ прозрачный ПВХ IP65 эффект мерцания 24В соединяется NEON-NIGHT нужен транс-ор 531-100/531-311/531-312</t>
  </si>
  <si>
    <t>305-295</t>
  </si>
  <si>
    <t>4601004184442</t>
  </si>
  <si>
    <t>Гирлянда светодиодная Нить 10м 200 LED БЕЛЫЙ прозрачный ПВХ IP65 эффект мерцания 230В соединяется NEON-NIGHT нужен шнур 303-500-1</t>
  </si>
  <si>
    <t>305-296</t>
  </si>
  <si>
    <t>4601004184459</t>
  </si>
  <si>
    <t>Гирлянда светодиодная Нить 10м 200 LED ТЕПЛЫЙ БЕЛЫЙ прозрачный ПВХ IP65 эффект мерцания 230В соединяется NEON-NIGHT нужен шнур 303-500-1</t>
  </si>
  <si>
    <t>305-395</t>
  </si>
  <si>
    <t>4601004303386</t>
  </si>
  <si>
    <t>305-396</t>
  </si>
  <si>
    <t>4601004303409</t>
  </si>
  <si>
    <t>305-245</t>
  </si>
  <si>
    <t>4601004092808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</si>
  <si>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</si>
  <si>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305-241</t>
  </si>
  <si>
    <t>4601004092761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</si>
  <si>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</si>
  <si>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305-246</t>
  </si>
  <si>
    <t>4601004092815</t>
  </si>
  <si>
    <t>Гирлянда светодиодная Нить 10м 100 LED ТЕПЛЫЙ БЕЛЫЙ черный ПВХ IP65 эффект мерцания 24В соединяется NEON-NIGHT нужен трансформатор 531-100/531-311/531-312</t>
  </si>
  <si>
    <t>315-165</t>
  </si>
  <si>
    <t>4601004012615</t>
  </si>
  <si>
    <t>Гирлянда светодиодная Нить 20м 200 LED БЕЛЫЙ черный каучук IP67 100% мерцание 230В соединяется NEON-NIGHT</t>
  </si>
  <si>
    <t>315-166</t>
  </si>
  <si>
    <t>4601004016859</t>
  </si>
  <si>
    <t>Гирлянда светодиодная Нить 20м 200 LED ТЕПЛЫЙ БЕЛЫЙ черный каучук IP67 100% мерцание 230В соединяется NEON-NIGHT</t>
  </si>
  <si>
    <t>315-216</t>
  </si>
  <si>
    <t>4601004179790</t>
  </si>
  <si>
    <t>Гирлянда светодиодная Нить 10м 200 LED ТЕПЛЫЙ БЕЛЫЙ черный каучук IP67 постоянное свечение 230В соединяется NEON-NIGHT нужен шнур 315-000</t>
  </si>
  <si>
    <t>315-215</t>
  </si>
  <si>
    <t>4601004179813</t>
  </si>
  <si>
    <t>Гирлянда светодиодная Нить 10м 200 LED БЕЛЫЙ черный каучук IP67 постоянное свечение 230В соединяется NEON-NIGHT нужен шнур 315-000</t>
  </si>
  <si>
    <t>315-135</t>
  </si>
  <si>
    <t>4610003606817</t>
  </si>
  <si>
    <t>Гирлянда светодиодная Нить 12м 120 LED БЕЛЫЙ черный каучук IP67 постоянное свечение 230В соединяется NEON-NIGHT шнур в комплекте</t>
  </si>
  <si>
    <t>315-139</t>
  </si>
  <si>
    <t>4610003606824</t>
  </si>
  <si>
    <t>Гирлянда светодиодная Нить 12м 120 LED МУЛЬТИКОЛОР черный каучук IP67 постоянное свечение 230В соединяется NEON-NIGHT нужен шнур 315-000</t>
  </si>
  <si>
    <t>315-136</t>
  </si>
  <si>
    <t>4601004012592</t>
  </si>
  <si>
    <t>Гирлянда светодиодная Нить 12м 120 LED ТЕПЛЫЙ БЕЛЫЙ черный каучук IP67 постоянное свечение 230В соединяется NEON-NIGHT нужен шнур 315-000</t>
  </si>
  <si>
    <t>315-505</t>
  </si>
  <si>
    <t>4601004224988</t>
  </si>
  <si>
    <t>Гирлянда светодиодная Нить 20м 200 LED БЕЛЫЙ белый каучук IP67 постоянное свечение 24В соединяется NEON-NIGHT нужен трансформатор 531-100/531-311/531-312</t>
  </si>
  <si>
    <t>315-506</t>
  </si>
  <si>
    <t>4601004224995</t>
  </si>
  <si>
    <t>Гирлянда светодиодная Нить 20м 200 LED ТЕПЛЫЙ БЕЛЫЙ белый каучук IP67 постоянное свечение 24В соединяется NEON-NIGHT нужен транс-ор 531-100/531-311/531-312</t>
  </si>
  <si>
    <t>315-515</t>
  </si>
  <si>
    <t>4601004225008</t>
  </si>
  <si>
    <t>Гирлянда светодиодная Нить 20м 200 LED БЕЛЫЙ черный каучук IP67 постоянное свечение 24В соединяется NEON-NIGHT нужен трансформатор 531-100/531-311/531-312</t>
  </si>
  <si>
    <t>315-516</t>
  </si>
  <si>
    <t>4601004225015</t>
  </si>
  <si>
    <t>Гирлянда светодиодная Нить 20м 200 LED ТЕПЛЫЙ БЕЛЫЙ черный каучук IP67 постоянное свечение 24В соединяется NEON-NIGHT нужен транс-ор 531-100/531-311/531-312</t>
  </si>
  <si>
    <t>315-145</t>
  </si>
  <si>
    <t>4601004016798</t>
  </si>
  <si>
    <t>Гирлянда светодиодная Нить 20м 200 LED БЕЛЫЙ белый каучук IP67 постоянное свечение 230В соединяется NEON-NIGHT нужен шнур 315-001</t>
  </si>
  <si>
    <t>315-143</t>
  </si>
  <si>
    <t>4601004087873</t>
  </si>
  <si>
    <t>Гирлянда светодиодная Нить 20м 200 LED СИНИЙ белый каучук IP67 постоянное свечение 230В соединяется NEON-NIGHT нужен шнур 315-001</t>
  </si>
  <si>
    <t>315-146</t>
  </si>
  <si>
    <t>4601004016804</t>
  </si>
  <si>
    <t>Гирлянда светодиодная Нить 20м 200 LED ТЕПЛЫЙ БЕЛЫЙ белый каучук IP67 постоянное свечение 230В соединяется NEON-NIGHT нужен шнур 315-001</t>
  </si>
  <si>
    <t>315-155</t>
  </si>
  <si>
    <t>4610003606848</t>
  </si>
  <si>
    <t>Гирлянда светодиодная Нить 20м 200 LED БЕЛЫЙ черный каучук IP67 постоянное свечение 230В соединяется NEON-NIGHT нужен шнур 315-000</t>
  </si>
  <si>
    <t>315-151</t>
  </si>
  <si>
    <t>4601004016828</t>
  </si>
  <si>
    <t>Гирлянда светодиодная Нить 20м 200 LED ЖЕЛТЫЙ черный каучук IP67 постоянное свечение 230В соединяется NEON-NIGHT нужен шнур 315-000</t>
  </si>
  <si>
    <t>315-154</t>
  </si>
  <si>
    <t>4601004016842</t>
  </si>
  <si>
    <t>Гирлянда светодиодная Нить 20м 200 LED ЗЕЛЕНЫЙ черный каучук IP67 постоянное свечение 230В соединяется NEON-NIGHT нужен шнур 315-000</t>
  </si>
  <si>
    <t>315-159</t>
  </si>
  <si>
    <t>4610003606855</t>
  </si>
  <si>
    <t>Гирлянда светодиодная Нить 20м 200 LED МУЛЬТИКОЛОР черный каучук IP67 постоянное свечение 230В соединяется NEON-NIGHT нужен шнур 315-000</t>
  </si>
  <si>
    <t>315-153</t>
  </si>
  <si>
    <t>4610003606862</t>
  </si>
  <si>
    <t>Гирлянда светодиодная Нить 20м 200 LED СИНИЙ черный каучук IP67 постоянное свечение 230В соединяется NEON-NIGHT нужен шнур 315-000</t>
  </si>
  <si>
    <t>315-156</t>
  </si>
  <si>
    <t>4601004012608</t>
  </si>
  <si>
    <t>315-195</t>
  </si>
  <si>
    <t>4601004179820</t>
  </si>
  <si>
    <t>Гирлянда светодиодная Нить 10м 200 LED БЕЛЫЙ черный каучук IP67 эффект мерцания 230В соединяется NEON-NIGHT нужен шнур 315-000</t>
  </si>
  <si>
    <t>315-196</t>
  </si>
  <si>
    <t>4601004179806</t>
  </si>
  <si>
    <t>Гирлянда светодиодная Нить 10м 200 LED ТЕПЛЫЙ БЕЛЫЙ черный каучук IP67 эффект мерцания 230В соединяется NEON-NIGHT нужен шнур 315-000</t>
  </si>
  <si>
    <t>315-536</t>
  </si>
  <si>
    <t>4601004225053</t>
  </si>
  <si>
    <t>Гирлянда Нить (дюраплей) 20м, с эффектом мерцания, белый каучук, 24В, цвет Тёплый белый (нужен трансформатор 531-100/531-200)</t>
  </si>
  <si>
    <t>315-525</t>
  </si>
  <si>
    <t>4601004225022</t>
  </si>
  <si>
    <t>Гирлянда светодиодная Нить 20м 200 LED БЕЛЫЙ черный каучук IP67 эффект мерцания 24В соединяется NEON-NIGHT нужен трансформатор 531-100/531-311/531-312</t>
  </si>
  <si>
    <t>315-526</t>
  </si>
  <si>
    <t>4601004225039</t>
  </si>
  <si>
    <t>Гирлянда светодиодная Нить 20м 200 LED ТЕПЛЫЙ БЕЛЫЙ черный каучук IP67 эффект мерцания 24В соединяется NEON-NIGHT нужен транс-ор 531-100/531-311/531-312</t>
  </si>
  <si>
    <t>315-185</t>
  </si>
  <si>
    <t>4601004087934</t>
  </si>
  <si>
    <t>315-181</t>
  </si>
  <si>
    <t>4601004087897</t>
  </si>
  <si>
    <t>Гирлянда светодиодная Нить 20м 200 LED ЖЕЛТЫЙ белый каучук IP67 эффект мерцания 230В соединяется NEON-NIGHT нужен шнур 315-001</t>
  </si>
  <si>
    <t>315-183</t>
  </si>
  <si>
    <t>4601004087910</t>
  </si>
  <si>
    <t>Гирлянда светодиодная Нить 20м 200 LED СИНИЙ белый каучук IP67 эффект мерцания 230В соединяется NEON-NIGHT нужен шнур 315-001</t>
  </si>
  <si>
    <t>315-186</t>
  </si>
  <si>
    <t>4601004087941</t>
  </si>
  <si>
    <t>315-173</t>
  </si>
  <si>
    <t>4601004302631</t>
  </si>
  <si>
    <t>Гирлянда светодиодная Нить 20м 200 LED СИНИЙ черный каучук IP67 эффект мерцания 230В соединяется нужен блок 315-000 NEON-NIGHT</t>
  </si>
  <si>
    <t>315-175</t>
  </si>
  <si>
    <t>4601004016866</t>
  </si>
  <si>
    <t>Гирлянда светодиодная Нить 20м 200 LED БЕЛЫЙ черный каучук IP67 эффект мерцания 230В соединяется NEON-NIGHT нужен шнур 315-000</t>
  </si>
  <si>
    <t>315-176</t>
  </si>
  <si>
    <t>4601004016873</t>
  </si>
  <si>
    <t>Гирлянда светодиодная Нить 20м 200 LED ТЕПЛЫЙ БЕЛЫЙ черный каучук IP67 эффект мерцания 230В соединяется NEON-NIGHT нужен шнур 315-000</t>
  </si>
  <si>
    <t>303-509-2</t>
  </si>
  <si>
    <t>4601004003828</t>
  </si>
  <si>
    <t>303-509-4</t>
  </si>
  <si>
    <t>4601004302709</t>
  </si>
  <si>
    <t>303-509-1</t>
  </si>
  <si>
    <t>4601004015760</t>
  </si>
  <si>
    <t>303-509</t>
  </si>
  <si>
    <t>4601004015746</t>
  </si>
  <si>
    <t>303-529</t>
  </si>
  <si>
    <t>4610003607128</t>
  </si>
  <si>
    <t>Гирлянда светодиодная Мультишарики Ø17,5мм 20м 200 LED RGB черный ПВХ IP65 быстрая смена цвета 24В NEON-NIGHT</t>
  </si>
  <si>
    <t>303-503</t>
  </si>
  <si>
    <t>4601004015739</t>
  </si>
  <si>
    <t>Гирлянда светодиодная Мультишарики Ø17,5мм 20м 200 LED СИНИЙ черный ПВХ IP65 постоянное свечение 230В нужен блок 303-500 NEON-NIGHT</t>
  </si>
  <si>
    <t>303-575</t>
  </si>
  <si>
    <t>4601004033382</t>
  </si>
  <si>
    <t>Гирлянда светодиодная Мультишарики Ø38мм 10м 40 LED БЕЛЫЙ черный ПВХ IP65 постоянное свечение 230В нужен блок 303-500 NEON-NIGHT</t>
  </si>
  <si>
    <t>303-516</t>
  </si>
  <si>
    <t>4601004093058</t>
  </si>
  <si>
    <t>303-505</t>
  </si>
  <si>
    <t>4610003607036</t>
  </si>
  <si>
    <t>Гирлянда светодиодная Мультишарики Ø17,5мм 20м 200 LED БЕЛЫЙ черный ПВХ IP65 постоянное свечение 230В NEON-NIGHT</t>
  </si>
  <si>
    <t>303-502</t>
  </si>
  <si>
    <t>4601004015722</t>
  </si>
  <si>
    <t>Гирлянда светодиодная Мультишарики Ø17,5мм 20м 200 LED КРАСНЫЙ черный ПВХ IP65 постоянное свечение 230В NEON-NIGHT</t>
  </si>
  <si>
    <t>303-589</t>
  </si>
  <si>
    <t>4601004033375</t>
  </si>
  <si>
    <t>Гирлянда светодиодная Мультишарики Ø17,5мм Ø23мм Ø17,5мм Ø45мм 10м 80 LED RGB черный ПВХ IP65 быстрая смена цвета 230В NEON-NIGHT</t>
  </si>
  <si>
    <t>303-519</t>
  </si>
  <si>
    <t>4601004015753</t>
  </si>
  <si>
    <t>Гирлянда светодиодная Мультишарики Ø23мм 10м 80 LED RGB черный ПВХ IP65 быстрая смена цвета 230В NEON-NIGHT</t>
  </si>
  <si>
    <t>303-515</t>
  </si>
  <si>
    <t>4601004082861</t>
  </si>
  <si>
    <t>Гирлянда светодиодная Мультишарики Ø23мм 10м 80 LED БЕЛЫЙ черный ПВХ IP65 постоянное свечение 230В NEON-NIGHT</t>
  </si>
  <si>
    <t>303-579</t>
  </si>
  <si>
    <t>4601004015777</t>
  </si>
  <si>
    <t>Гирлянда светодиодная Мультишарики Ø38мм 10м 40 LED RGB черный ПВХ IP65 быстрая смена цвета 230В NEON-NIGHT</t>
  </si>
  <si>
    <t>303-599</t>
  </si>
  <si>
    <t>4601004093072</t>
  </si>
  <si>
    <t>Гирлянда светодиодная Мультишарики Ø23мм 10м 80 LED RGB черный каучук IP67 быстрая смена цвета 230В нужен блок 315-000 NEON-NIGHT</t>
  </si>
  <si>
    <t>303-509-3</t>
  </si>
  <si>
    <t>4601004096356</t>
  </si>
  <si>
    <t>Гирлянда светодиодная Мультишишки Ø23мм 10м 80 LED RGB черный каучук IP67 быстрая смена цвета 230В нужен блок 315-000 NEON-NIGHT</t>
  </si>
  <si>
    <t>303-595</t>
  </si>
  <si>
    <t>4601004093065</t>
  </si>
  <si>
    <t>Гирлянда светодиодная Мультишарики Ø23мм 10м 80 LED БЕЛЫЙ черный каучук IP67 постоянное свечение 230В нужен блок 315-000 NEON-NIGHT</t>
  </si>
  <si>
    <t>303-596</t>
  </si>
  <si>
    <t>4601004280854</t>
  </si>
  <si>
    <t>303-679</t>
  </si>
  <si>
    <t>4601004254954</t>
  </si>
  <si>
    <t>Гирлянда светодиодная Мультишарики Ø17,5мм 10м 80 LED RGB черный каучук IP67 быстрая смена цвета 230В NEON-NIGHT</t>
  </si>
  <si>
    <t>303-135</t>
  </si>
  <si>
    <t>4610003606954</t>
  </si>
  <si>
    <t>303-139</t>
  </si>
  <si>
    <t>4610003606985</t>
  </si>
  <si>
    <t>303-136</t>
  </si>
  <si>
    <t>4660008013103</t>
  </si>
  <si>
    <t>303-131</t>
  </si>
  <si>
    <t>4610003606961</t>
  </si>
  <si>
    <t>303-132</t>
  </si>
  <si>
    <t>4610003606978</t>
  </si>
  <si>
    <t>Гирлянда Нить управляемая 10м 100 LED КРАСНЫЙ черный ПВХ IP65 свечение с динамикой 230В контроллер в комплекте NEON-NIGHT</t>
  </si>
  <si>
    <t>303-133</t>
  </si>
  <si>
    <t>4610003606992</t>
  </si>
  <si>
    <t>303-145</t>
  </si>
  <si>
    <t>4610003607005</t>
  </si>
  <si>
    <t>303-149</t>
  </si>
  <si>
    <t>4610003607012</t>
  </si>
  <si>
    <t>303-146</t>
  </si>
  <si>
    <t>4601004255074</t>
  </si>
  <si>
    <t>303-329</t>
  </si>
  <si>
    <t>4610003606794</t>
  </si>
  <si>
    <t>Гирлянда Нить управляемая 20м 240 LED МУЛЬТИКОЛОР черный каучук IP67 свечение с динамикой 230В нужен контроллер 217-204 NEON-NIGHT</t>
  </si>
  <si>
    <t>303-326</t>
  </si>
  <si>
    <t>4601004016736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</si>
  <si>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</si>
  <si>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303-635</t>
  </si>
  <si>
    <t>4601004154148</t>
  </si>
  <si>
    <t>Гирлянда светодиодная Кластер 10м 200 LED БЕЛЫЙ прозрачный ПВХ IP65 постоянное свечение 230В нужен блок 303-500-1 NEON-NIGHT</t>
  </si>
  <si>
    <t>303-636</t>
  </si>
  <si>
    <t>4601004154162</t>
  </si>
  <si>
    <t>Гирлянда светодиодная Кластер 10м 200 LED ТЕПЛЫЙ БЕЛЫЙ прозрачный ПВХ IP65 постоянное свечение 230В нужен блок 303-500-1 NEON-NIGHT</t>
  </si>
  <si>
    <t>303-645</t>
  </si>
  <si>
    <t>4601004180598</t>
  </si>
  <si>
    <t>Гирлянда светодиодная Кластер 10м 400 LED БЕЛЫЙ прозрачный ПВХ IP65 постоянное свечение 230В нужен блок 303-500-1 NEON-NIGHT</t>
  </si>
  <si>
    <t>315-255</t>
  </si>
  <si>
    <t>4601004179837</t>
  </si>
  <si>
    <t>Гирлянда светодиодная Кластер 10м 200 LED БЕЛЫЙ черный каучук IP67 постоянное свечение 230В нужен блок 315-000 NEON-NIGHT</t>
  </si>
  <si>
    <t>315-256</t>
  </si>
  <si>
    <t>4601004179844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</si>
  <si>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</si>
  <si>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</si>
  <si>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4601004179851</t>
  </si>
  <si>
    <t>Гирлянда светодиодная Кластер 10м 400 LED БЕЛЫЙ черный каучук IP67 постоянное свечение 230В нужен блок 315-000 NEON-NIGHT</t>
  </si>
  <si>
    <t>315-266</t>
  </si>
  <si>
    <t>4601004179868</t>
  </si>
  <si>
    <t>Гирлянда светодиодная Кластер 10м 400 LED ТЕПЛЫЙ БЕЛЫЙ черный каучук IP67 постоянное свечение 230В нужен блок 315-000 NEON-NIGHT</t>
  </si>
  <si>
    <t>323-619</t>
  </si>
  <si>
    <t>4601004014503</t>
  </si>
  <si>
    <t>Гирлянда LED ClipLight - МУЛЬТИШАРИКИ 24V, 3 нити по 20 м, медленная смена цвета, цвет диодов RGB</t>
  </si>
  <si>
    <t>323-615</t>
  </si>
  <si>
    <t>4601004014497</t>
  </si>
  <si>
    <t>Гирлянда LED ClipLight - ШАРИКИ 24V, 3 нити по 20 м, цвет диодов Белый</t>
  </si>
  <si>
    <t>323-315</t>
  </si>
  <si>
    <t>4601004033399</t>
  </si>
  <si>
    <t>Гирлянда LED ClipLight 24V, 3 нити по 10 метров, цвет диодов Белый</t>
  </si>
  <si>
    <t>323-316</t>
  </si>
  <si>
    <t>4601004033405</t>
  </si>
  <si>
    <t>Гирлянда LED ClipLight 24V, 3 нити по 10 метров, цвет диодов ТЕПЛЫЙ БЕЛЫЙ</t>
  </si>
  <si>
    <t>323-305</t>
  </si>
  <si>
    <t>4601004003880</t>
  </si>
  <si>
    <t>Гирлянда LED ClipLight 24V, 3 нити по 20 м, свечение с динамикой, цвет диодов Белый</t>
  </si>
  <si>
    <t>323-301</t>
  </si>
  <si>
    <t>4601004014343</t>
  </si>
  <si>
    <t>Гирлянда LED ClipLight 24V, 3 нити по 20 м, свечение с динамикой, цвет диодов Желтый</t>
  </si>
  <si>
    <t>323-302</t>
  </si>
  <si>
    <t>4601004014350</t>
  </si>
  <si>
    <t>Гирлянда LED ClipLight 24V, 3 нити по 20 м, свечение с динамикой, цвет диодов Красный</t>
  </si>
  <si>
    <t>323-309</t>
  </si>
  <si>
    <t>4601004003873</t>
  </si>
  <si>
    <t>Гирлянда LED ClipLight 24V, 3 нити по 20 м, свечение с динамикой, цвет диодов Мульти</t>
  </si>
  <si>
    <t>323-303</t>
  </si>
  <si>
    <t>4601004003897</t>
  </si>
  <si>
    <t>Гирлянда LED ClipLight 24V, 3 нити по 20 м, свечение с динамикой, цвет диодов Синий</t>
  </si>
  <si>
    <t>323-505</t>
  </si>
  <si>
    <t>4601004003835</t>
  </si>
  <si>
    <t>Гирлянда LED ClipLight 24V, 5 нитей по 20 метров, цвет диодов Белый</t>
  </si>
  <si>
    <t>323-501</t>
  </si>
  <si>
    <t>4601004014374</t>
  </si>
  <si>
    <t>Гирлянда LED ClipLight 24V, 5 нитей по 20 метров, цвет диодов Желтый</t>
  </si>
  <si>
    <t>323-509</t>
  </si>
  <si>
    <t>4601004003859</t>
  </si>
  <si>
    <t>Гирлянда LED ClipLight 24V, 5 нитей по 20 метров, цвет диодов Мульти</t>
  </si>
  <si>
    <t>323-503</t>
  </si>
  <si>
    <t>4601004003842</t>
  </si>
  <si>
    <t>Гирлянда LED ClipLight 24V, 5 нитей по 20 метров, цвет диодов Синий</t>
  </si>
  <si>
    <t>323-506</t>
  </si>
  <si>
    <t>4601004014404</t>
  </si>
  <si>
    <t>Гирлянда LED ClipLight 24V, 5 нитей по 20 метров, цвет диодов ТЕПЛЫЙ БЕЛЫЙ</t>
  </si>
  <si>
    <t>323-605</t>
  </si>
  <si>
    <t>4601004003866</t>
  </si>
  <si>
    <t>Гирлянда LED ClipLight 24V, 5 нитей по 20 метров, цвет диодов Белый, Flashing (Белый)</t>
  </si>
  <si>
    <t>323-601</t>
  </si>
  <si>
    <t>4601004014428</t>
  </si>
  <si>
    <t>Гирлянда LED ClipLight 24V, 5 нитей по 20 метров, цвет диодов Желтый, Flashing (Белый)</t>
  </si>
  <si>
    <t>323-603</t>
  </si>
  <si>
    <t>4601004014442</t>
  </si>
  <si>
    <t>Гирлянда LED ClipLight 24V, 5 нитей по 20 метров, цвет диодов Синий, Flashing (Белый)</t>
  </si>
  <si>
    <t>323-606</t>
  </si>
  <si>
    <t>4601004014466</t>
  </si>
  <si>
    <t>Гирлянда LED ClipLight 24V, 5 нитей по 20 метров, цвет диодов ТЕПЛЫЙ БЕЛЫЙ, Flashing (Теплый белый)</t>
  </si>
  <si>
    <t>325-165</t>
  </si>
  <si>
    <t>4601004225121</t>
  </si>
  <si>
    <t>325-166</t>
  </si>
  <si>
    <t>4601004224971</t>
  </si>
  <si>
    <t>325-125</t>
  </si>
  <si>
    <t>4610003607210</t>
  </si>
  <si>
    <t>325-121</t>
  </si>
  <si>
    <t>4610003607173</t>
  </si>
  <si>
    <t>325-129</t>
  </si>
  <si>
    <t>4610003607227</t>
  </si>
  <si>
    <t>325-123</t>
  </si>
  <si>
    <t>4610003607197</t>
  </si>
  <si>
    <t>325-126</t>
  </si>
  <si>
    <t>4601004033214</t>
  </si>
  <si>
    <t>325-145</t>
  </si>
  <si>
    <t>4601004033221</t>
  </si>
  <si>
    <t>325-146</t>
  </si>
  <si>
    <t>4601004033238</t>
  </si>
  <si>
    <t>325-155</t>
  </si>
  <si>
    <t>4601004144378</t>
  </si>
  <si>
    <t>325-156</t>
  </si>
  <si>
    <t>4601004144385</t>
  </si>
  <si>
    <t>256-429</t>
  </si>
  <si>
    <t>4601004183865</t>
  </si>
  <si>
    <t>Гирлянда Тающие сосульки комплект 10 шт. х 100см шаг 100см 960 LED БЕЛЫЙ черный каучук IP65 эффект тающей сосульки 24В NEON-NIGHT</t>
  </si>
  <si>
    <t>256-425</t>
  </si>
  <si>
    <t>4601004154186</t>
  </si>
  <si>
    <t>Гирлянда Тающие сосульки комплект 10 шт. х 30см шаг 100см 420 LED БЕЛЫЙ черный каучук IP65 эффект тающей сосульки 24В NEON-NIGHT</t>
  </si>
  <si>
    <t>256-426</t>
  </si>
  <si>
    <t>4601004154155</t>
  </si>
  <si>
    <t>Гирлянда Тающие сосульки комплект 10 шт. х 50см шаг 100см 600 LED БЕЛЫЙ черный каучук IP65 эффект тающей сосульки 24В NEON-NIGHT</t>
  </si>
  <si>
    <t>256-427</t>
  </si>
  <si>
    <t>4601004295629</t>
  </si>
  <si>
    <t>Гирлянда Тающие сосульки, комплект 10 шт. х 50см, шаг 100см, 600 LED ТЕПЛЫЙ БЕЛЫЙ, черный каучук, 24В, соединяется NEON-NIGHT</t>
  </si>
  <si>
    <t>256-423</t>
  </si>
  <si>
    <t>4601004303416</t>
  </si>
  <si>
    <t>Гирлянда Тающие сосульки комплект 10 шт. х 50см шаг 100см 600 LED ТЕПЛЫЙ БЕЛЫЙ белый каучук 24В соединяется NEON-NIGHT</t>
  </si>
  <si>
    <t>256-163</t>
  </si>
  <si>
    <t>4601004034945</t>
  </si>
  <si>
    <t>Сосулька светодиодная E27 100см двухсторонняя 60x2 LED БЕЛЫЙ IP65 230В NEON-NIGHT</t>
  </si>
  <si>
    <t>256-161</t>
  </si>
  <si>
    <t>4601004034921</t>
  </si>
  <si>
    <t>Сосулька светодиодная E27 30см двухсторонняя 24x2 LED БЕЛЫЙ IP65 230В NEON-NIGHT</t>
  </si>
  <si>
    <t>256-162</t>
  </si>
  <si>
    <t>4601004034938</t>
  </si>
  <si>
    <t>Сосулька светодиодная E27 50см двухсторонняя 48x2 LED БЕЛЫЙ IP65 230В NEON-NIGHT</t>
  </si>
  <si>
    <t>331-251</t>
  </si>
  <si>
    <t>4601004131866</t>
  </si>
  <si>
    <t>331-211</t>
  </si>
  <si>
    <t>4610003607326</t>
  </si>
  <si>
    <t>331-252</t>
  </si>
  <si>
    <t>4601004087347</t>
  </si>
  <si>
    <t>331-212</t>
  </si>
  <si>
    <t>4610003607333</t>
  </si>
  <si>
    <t>331-213</t>
  </si>
  <si>
    <t>4610003607340</t>
  </si>
  <si>
    <t>331-241</t>
  </si>
  <si>
    <t>4601004286856</t>
  </si>
  <si>
    <t>331-242</t>
  </si>
  <si>
    <t>4601004302655</t>
  </si>
  <si>
    <t>331-243</t>
  </si>
  <si>
    <t>4601004302686</t>
  </si>
  <si>
    <t>331-244</t>
  </si>
  <si>
    <t>4601004302648</t>
  </si>
  <si>
    <t>331-210</t>
  </si>
  <si>
    <t>4601004016125</t>
  </si>
  <si>
    <t>331-254</t>
  </si>
  <si>
    <t>4601004257429</t>
  </si>
  <si>
    <t>Белт-Лайт 2 жилы, 50м, шаг 20см, 250 патронов Е27, IP65, белый плоский провод каучук</t>
  </si>
  <si>
    <t>331-261</t>
  </si>
  <si>
    <t>4601004337435</t>
  </si>
  <si>
    <t>Белт-Лайт 2 жилы, 50м, шаг 20см, 250 патронов E27, IP65, черный плоский провод ПВХ, патрон резина PROconnect</t>
  </si>
  <si>
    <t>331-262</t>
  </si>
  <si>
    <t>4601004337428</t>
  </si>
  <si>
    <t>Белт-Лайт 2 жилы, 50м, шаг 40см, 125 патронов E27, IP65, черный плоский провод ПВХ, патрон резина PROconnect</t>
  </si>
  <si>
    <t>331-264</t>
  </si>
  <si>
    <t>4601004337442</t>
  </si>
  <si>
    <t>Белт-Лайт 2 жилы, 50м, шаг 40см, 125 патронов E27, IP65, белый плоский провод ПВХ, патрон резина PROconnect</t>
  </si>
  <si>
    <t>331-345</t>
  </si>
  <si>
    <t>4601004061309</t>
  </si>
  <si>
    <t>331-346</t>
  </si>
  <si>
    <t>4601004090163</t>
  </si>
  <si>
    <t>331-112</t>
  </si>
  <si>
    <t>4610003607296</t>
  </si>
  <si>
    <t>Гирлянда Belt-Light 5 жил, 100м, шаг 15см, 665 патронов E27, IP20, серый провод NEON-NIGHT</t>
  </si>
  <si>
    <t>331-221</t>
  </si>
  <si>
    <t>4610003607319</t>
  </si>
  <si>
    <t>Гирлянда Belt-Light 5 жил, 100м, шаг 15см, 667 патронов, E27, IP65, серый провод NEON-NIGHT</t>
  </si>
  <si>
    <t>331-008</t>
  </si>
  <si>
    <t>4601004016101</t>
  </si>
  <si>
    <t>Заглушка для двухжильной гирлянды Belt-light (10 шт/уп) NEON-NIGHT</t>
  </si>
  <si>
    <t>331-005</t>
  </si>
  <si>
    <t>4601004016118</t>
  </si>
  <si>
    <t>Коннектор соединительный для двухжильной гирлянды Belt-light (10 шт/уп) NEON-NIGHT</t>
  </si>
  <si>
    <t>332-118</t>
  </si>
  <si>
    <t>4601004062399</t>
  </si>
  <si>
    <t>Контроллер iMLamp16D_AC для Белт-Лайта и светодиодных ламп 220В, 5600Вт, 16 каналов х 1,6А, 28 программ, ДУ, IP54 ИМПУЛЬС ЛАЙТ</t>
  </si>
  <si>
    <t>332-116</t>
  </si>
  <si>
    <t>4601004062375</t>
  </si>
  <si>
    <t>Контроллер iMLamp4D_AC_3500 для Белт-Лайта и светодиодных ламп 220В, 3500Вт, 4 канала х 4,0А, ДУ, IP65 ИМПУЛЬС ЛАЙТ</t>
  </si>
  <si>
    <t>332-119</t>
  </si>
  <si>
    <t>4601004125575</t>
  </si>
  <si>
    <t>Контроллер iMLamp4D_AC_7000 для Белт-Лайта и светодиодных ламп 220В, 7000Вт, 4 канала х 8,0А, 33 программы, ДУ, IP65 ИМПУЛЬС ЛАЙТ</t>
  </si>
  <si>
    <t>332-120</t>
  </si>
  <si>
    <t>Контроллер iMLamp4_AC_7000 для дюралайта, LED-неона и ламп накаливания 220В, 7000Вт, 4 канала х 8,0А, 33 программы, ДУ, IP65 ИМПУЛЬС ЛАЙТ</t>
  </si>
  <si>
    <t>332-115</t>
  </si>
  <si>
    <t>4601004062382</t>
  </si>
  <si>
    <t>Контроллер iMLamp4D_AC_mini для Белт-Лайта и светодиодных ламп 220В, 1400Вт, 4 канала х 1,6А, ДУ, IP65 ИМПУЛЬС ЛАЙТ</t>
  </si>
  <si>
    <t>331-003</t>
  </si>
  <si>
    <t>4601004016088</t>
  </si>
  <si>
    <t>Блок питания для подключения двухжильной гирлянды Belt-light (шнур питания 1,5м с вилкой, коннектор) NEON-NIGHT</t>
  </si>
  <si>
    <t>331-001</t>
  </si>
  <si>
    <t>4601004016071</t>
  </si>
  <si>
    <t>Патрон E27 для двухжильной гирлянды Belt-light (10 шт/уп) NEON-NIGHT</t>
  </si>
  <si>
    <t>331-012</t>
  </si>
  <si>
    <t>4601004090255</t>
  </si>
  <si>
    <t>331-013</t>
  </si>
  <si>
    <t>4601004090224</t>
  </si>
  <si>
    <t>331-015</t>
  </si>
  <si>
    <t>4601004090248</t>
  </si>
  <si>
    <t>405-513</t>
  </si>
  <si>
    <t>4601004285132</t>
  </si>
  <si>
    <t>Лампа светодиодная, диаметр 45мм, E27, 3 LED, 1Вт, RGB, 230В NEON-NIGHT</t>
  </si>
  <si>
    <t>405-115</t>
  </si>
  <si>
    <t>4610003607494</t>
  </si>
  <si>
    <t>Лампа светодиодная, диаметр 45мм, E27, 5 LED, 2Вт, БЕЛЫЙ, 230В NEON-NIGHT</t>
  </si>
  <si>
    <t>405-116</t>
  </si>
  <si>
    <t>4601004013759</t>
  </si>
  <si>
    <t>Лампа светодиодная, диаметр 45мм, E27, 5 LED, 2Вт, ТЕПЛЫЙ БЕЛЫЙ, 230В NEON-NIGHT</t>
  </si>
  <si>
    <t>405-111</t>
  </si>
  <si>
    <t>4610003607500</t>
  </si>
  <si>
    <t>Лампа светодиодная, диаметр 45мм, E27, 5 LED, 2Вт, ЖЕЛТЫЙ, 230В NEON-NIGHT</t>
  </si>
  <si>
    <t>405-114</t>
  </si>
  <si>
    <t>4610003607517</t>
  </si>
  <si>
    <t>Лампа светодиодная, диаметр 45мм, E27, 5 LED, 2Вт, ЗЕЛЕНЫЙ, 230В NEON-NIGHT</t>
  </si>
  <si>
    <t>405-112</t>
  </si>
  <si>
    <t>4610003607524</t>
  </si>
  <si>
    <t>Лампа светодиодная, диаметр 45мм, E27, 5 LED, 2Вт, КРАСНЫЙ, 230В NEON-NIGHT</t>
  </si>
  <si>
    <t>405-113</t>
  </si>
  <si>
    <t>4610003607531</t>
  </si>
  <si>
    <t>Лампа светодиодная, диаметр 45мм, E27, 5 LED, 2Вт, СИНИЙ, 230В NEON-NIGHT</t>
  </si>
  <si>
    <t>405-125</t>
  </si>
  <si>
    <t>4601004013834</t>
  </si>
  <si>
    <t>Ретро-лампа светодиодная, диаметр 45мм, E27, 6 LED, 2Вт, БЕЛЫЙ, прозрачная колба, 230В NEON-NIGHT</t>
  </si>
  <si>
    <t>405-124</t>
  </si>
  <si>
    <t>4601004013827</t>
  </si>
  <si>
    <t>Ретро-лампа светодиодная, диаметр 45мм, E27, 6 LED, 2Вт, ЗЕЛЕНЫЙ, прозрачная колба, 230В NEON-NIGHT</t>
  </si>
  <si>
    <t>405-127</t>
  </si>
  <si>
    <t>4601004013858</t>
  </si>
  <si>
    <t>Ретро-лампа светодиодная, диаметр 45мм, E27, 6 LED, 2Вт, РОЗОВЫЙ, прозрачная колба, 230В NEON-NIGHT</t>
  </si>
  <si>
    <t>405-123</t>
  </si>
  <si>
    <t>4601004013810</t>
  </si>
  <si>
    <t>Ретро-лампа светодиодная, диаметр 45мм, E27, 6 LED, 2Вт, СИНИЙ, прозрачная колба, 230В NEON-NIGHT</t>
  </si>
  <si>
    <t>405-126</t>
  </si>
  <si>
    <t>4601004013841</t>
  </si>
  <si>
    <t>Ретро-лампа светодиодная диаметр 45мм, E27, 6 LED, 2Вт, ТЕПЛЫЙ БЕЛЫЙ, прозрачная колба, 230В NEON-NIGHT</t>
  </si>
  <si>
    <t>405-512</t>
  </si>
  <si>
    <t>4601004013629</t>
  </si>
  <si>
    <t>Лампа светодиодная, диаметр 50мм, E27, 9 LED, 3Вт, RGB, матовая колба, 230В NEON-NIGHT</t>
  </si>
  <si>
    <t>405-211</t>
  </si>
  <si>
    <t>4610003607586</t>
  </si>
  <si>
    <t>Лампа светодиодная, диаметр 50мм, E27, 9 LED, 1Вт, ЖЕЛТЫЙ, прозрачная колба, 230В NEON-NIGHT</t>
  </si>
  <si>
    <t>405-214</t>
  </si>
  <si>
    <t>4610003607562</t>
  </si>
  <si>
    <t>Лампа светодиодная, диаметр 50мм, E27, 9 LED, 1Вт, ЗЕЛЕНЫЙ, прозрачная колба, 230В NEON-NIGHT</t>
  </si>
  <si>
    <t>405-212</t>
  </si>
  <si>
    <t>4610003607579</t>
  </si>
  <si>
    <t>Лампа светодиодная, диаметр 50мм, E27, 9 LED, 1Вт, КРАСНЫЙ, прозрачная колба, 230В NEON-NIGHT</t>
  </si>
  <si>
    <t>405-213</t>
  </si>
  <si>
    <t>4610003607593</t>
  </si>
  <si>
    <t>Лампа светодиодная, диаметр 50мм, E27, 9 LED, 1Вт, СИНИЙ, прозрачная колба, 230В NEON-NIGHT</t>
  </si>
  <si>
    <t>405-216</t>
  </si>
  <si>
    <t>4601004013766</t>
  </si>
  <si>
    <t>Лампа светодиодная, диаметр 50мм, E27, 9 LED, 1Вт, ТЕПЛЫЙ БЕЛЫЙ, прозрачная колба, 230В NEON-NIGHT</t>
  </si>
  <si>
    <t>405-215</t>
  </si>
  <si>
    <t>4610003607555</t>
  </si>
  <si>
    <t>Лампа светодиодная, диаметр 50мм, E27, 9 LED, 1Вт, БЕЛЫЙ, прозрачная колба, 230В NEON-NIGHT</t>
  </si>
  <si>
    <t>405-615</t>
  </si>
  <si>
    <t>4610003607449</t>
  </si>
  <si>
    <t>Лампа светодиодная, диаметр 50мм, Е27, 10 LED, 1Вт, БЕЛЫЙ, прозрачная колба, 24В, постоянное напряжение NEON-NIGHT</t>
  </si>
  <si>
    <t>405-614</t>
  </si>
  <si>
    <t>4610003607456</t>
  </si>
  <si>
    <t>Лампа светодиодная, диаметр 50мм, Е27, 10 LED, 1Вт, ЗЕЛЕНЫЙ, прозрачная колба, 24В, постоянное напряжение NEON-NIGHT</t>
  </si>
  <si>
    <t>405-625</t>
  </si>
  <si>
    <t>4601004302778</t>
  </si>
  <si>
    <t>Лампа светодиодная, диаметр 45мм, E27, 7LED, 2Вт, БЕЛЫЙ, матовая колба, 24В NEON-NIGHT</t>
  </si>
  <si>
    <t>405-626</t>
  </si>
  <si>
    <t>4601004281325</t>
  </si>
  <si>
    <t>Лампа светодиодная, диаметр 45мм, E27, 7LED, 2Вт, ТЕПЛЫЙ БЕЛЫЙ, матовая колба, 24В NEON-NIGHT</t>
  </si>
  <si>
    <t>405-132</t>
  </si>
  <si>
    <t>4601004034020</t>
  </si>
  <si>
    <t>Лампа-шар светодиодная, диаметр 100мм, E27, 12 LED, 2Вт, КРАСНЫЙ, матовая колба, 24В NEON-NIGHT</t>
  </si>
  <si>
    <t>405-133</t>
  </si>
  <si>
    <t>4601004034044</t>
  </si>
  <si>
    <t>Лампа-шар светодиодная, диаметр 100мм, E27, 12 LED, 2Вт, СИНИЙ, матовая колба, 24В NEON-NIGHT</t>
  </si>
  <si>
    <t>405-144</t>
  </si>
  <si>
    <t>4601004090194</t>
  </si>
  <si>
    <t>Лампа-шар светодиодная с патроном для кабеля Белт-Лайт, диаметр 45мм, 6 LED, 1Вт, ЗЕЛЕНЫЙ, зеленая колба, 230В NEON-NIGHT</t>
  </si>
  <si>
    <t>405-143</t>
  </si>
  <si>
    <t>4601004090187</t>
  </si>
  <si>
    <t>Лампа-шар светодиодная с патроном для кабеля Белт-Лайт, диаметр 45мм, 6 LED, 1Вт, СИНИЙ, синяя колба, 230В NEON-NIGHT</t>
  </si>
  <si>
    <t>601-801</t>
  </si>
  <si>
    <t>4601004095410</t>
  </si>
  <si>
    <t>Ретро-лампа филаментная ST45, E27, 2 LED, 2Вт, ТЕПЛЫЙ БЕЛЫЙ, 230В, IP65 NEON-NIGHT</t>
  </si>
  <si>
    <t>601-802</t>
  </si>
  <si>
    <t>4601004233355</t>
  </si>
  <si>
    <t>Ретро-лампа филаментная G45, E27, 2 LED, 2Вт, ТЕПЛЫЙ БЕЛЫЙ, 230В, IP65 NEON-NIGHT</t>
  </si>
  <si>
    <t>411-125</t>
  </si>
  <si>
    <t>4610003608026</t>
  </si>
  <si>
    <t>Лампа-строб светодиодная, диаметр 50, E27, 18 LED, 2,5Вт, БЕЛЫЙ, 230В NEON-NIGHT</t>
  </si>
  <si>
    <t>411-122</t>
  </si>
  <si>
    <t>4601004013599</t>
  </si>
  <si>
    <t>Лампа-строб светодиодная, диаметр 50, E27, 18 LED, 2,5Вт, КРАСНЫЙ, 230В NEON-NIGHT</t>
  </si>
  <si>
    <t>411-123</t>
  </si>
  <si>
    <t>4601004013605</t>
  </si>
  <si>
    <t>Лампа-строб светодиодная, диаметр 50, E27, 18 LED, 2,5Вт, СИНИЙ, 230В NEON-NIGHT</t>
  </si>
  <si>
    <t>415-115</t>
  </si>
  <si>
    <t>4601004003903</t>
  </si>
  <si>
    <t>Лампа-строб светодиодная накладная 30 LED, 3,5Вт, БЕЛЫЙ, 230В NEON-NIGHT</t>
  </si>
  <si>
    <t>502-071</t>
  </si>
  <si>
    <t>4601004179745</t>
  </si>
  <si>
    <t>Елочная фигура Шар Ø 10 см, цвет золотой глянцевый</t>
  </si>
  <si>
    <t>502-072</t>
  </si>
  <si>
    <t>4601004179752</t>
  </si>
  <si>
    <t>Елочная фигура Шар Ø 10 см, цвет красный глянцевый</t>
  </si>
  <si>
    <t>502-075</t>
  </si>
  <si>
    <t>4601004179776</t>
  </si>
  <si>
    <t>Елочная фигура Шар Ø 10 см, цвет серебряный глянцевый</t>
  </si>
  <si>
    <t>502-073</t>
  </si>
  <si>
    <t>4601004179769</t>
  </si>
  <si>
    <t>Елочная фигура Шар Ø 10 см, цвет синий глянцевый</t>
  </si>
  <si>
    <t>502-021</t>
  </si>
  <si>
    <t>4601004152854</t>
  </si>
  <si>
    <t>Елочная фигура Шар 15 см, цвет золотой глянцевый</t>
  </si>
  <si>
    <t>502-022</t>
  </si>
  <si>
    <t>4601004152885</t>
  </si>
  <si>
    <t>Елочная фигура Шар 15 см, цвет красный глянцевый</t>
  </si>
  <si>
    <t>502-025</t>
  </si>
  <si>
    <t>4601004152847</t>
  </si>
  <si>
    <t>Елочная фигура Шар 15 см, цвет серебряный глянцевый</t>
  </si>
  <si>
    <t>502-023</t>
  </si>
  <si>
    <t>4601004152830</t>
  </si>
  <si>
    <t>Елочная фигура Шар 15 см, цвет синий глянцевый</t>
  </si>
  <si>
    <t>502-003</t>
  </si>
  <si>
    <t>4601004019249</t>
  </si>
  <si>
    <t>Елочная фигура Шар, 20 см, цвет синий глянцевый</t>
  </si>
  <si>
    <t>502-013</t>
  </si>
  <si>
    <t>4601004151987</t>
  </si>
  <si>
    <t>Елочная фигура Шар 25 см, цвет синий глянцевый</t>
  </si>
  <si>
    <t>502-301</t>
  </si>
  <si>
    <t>4601004257757</t>
  </si>
  <si>
    <t>Елочная фигура Шар, 15 см, цвет золотой матовый</t>
  </si>
  <si>
    <t>502-302</t>
  </si>
  <si>
    <t>4601004257672</t>
  </si>
  <si>
    <t>Елочная фигура Шар, 15 см, цвет красный матовый</t>
  </si>
  <si>
    <t>502-305</t>
  </si>
  <si>
    <t>4601004283404</t>
  </si>
  <si>
    <t>Елочная фигура Шар, 15 см, цвет серебряный матовый</t>
  </si>
  <si>
    <t>502-303</t>
  </si>
  <si>
    <t>4601004283398</t>
  </si>
  <si>
    <t>Елочная фигура Шар, 15 см, цвет синий матовый</t>
  </si>
  <si>
    <t>502-251</t>
  </si>
  <si>
    <t>4601004257696</t>
  </si>
  <si>
    <t>Елочная фигура Шар 20 см, цвет золотой матовый</t>
  </si>
  <si>
    <t>502-252</t>
  </si>
  <si>
    <t>4601004257719</t>
  </si>
  <si>
    <t>Елочная фигура Шар 20 см, цвет красный матовый</t>
  </si>
  <si>
    <t>502-393</t>
  </si>
  <si>
    <t>4601004019096</t>
  </si>
  <si>
    <t>Фигура Елочка складная 3D, 100*84 см, цвет зеленый</t>
  </si>
  <si>
    <t>502-082</t>
  </si>
  <si>
    <t>4601004018426</t>
  </si>
  <si>
    <t>Елочная фигура Арбуз, 25 см, цвет красный</t>
  </si>
  <si>
    <t>502-243</t>
  </si>
  <si>
    <t>4601004018709</t>
  </si>
  <si>
    <t>Елочная фигура Карамельная палочка 121 см, цвет синий/белый</t>
  </si>
  <si>
    <t>502-247</t>
  </si>
  <si>
    <t>4601004018723</t>
  </si>
  <si>
    <t>Елочная фигура Карамельная палочка 121 см, цвет фиолетовый/белый</t>
  </si>
  <si>
    <t>502-391</t>
  </si>
  <si>
    <t>4601004019072</t>
  </si>
  <si>
    <t>Елочная фигура Карамельная палочка 3D, 89x78 см, цвет белый/красный</t>
  </si>
  <si>
    <t>502-292</t>
  </si>
  <si>
    <t>4601004018839</t>
  </si>
  <si>
    <t>Елочная фигура Клубничка 40 см, цвет бордовый</t>
  </si>
  <si>
    <t>502-242</t>
  </si>
  <si>
    <t>2000031073781</t>
  </si>
  <si>
    <t>Елочная фигура Леденец, 102 см, цвет белый, красный и зеленый</t>
  </si>
  <si>
    <t>502-249</t>
  </si>
  <si>
    <t>4601004018730</t>
  </si>
  <si>
    <t>Елочная фигура Мороженое 80 см, цвет мульти</t>
  </si>
  <si>
    <t>502-386</t>
  </si>
  <si>
    <t>4601004019041</t>
  </si>
  <si>
    <t>Елочная фигура Снежинка классическая, 66 см, цвет золотой</t>
  </si>
  <si>
    <t>502-373</t>
  </si>
  <si>
    <t>4601004004146</t>
  </si>
  <si>
    <t>Елочная фигура Снежинка классическая, 66 см, цвет синий</t>
  </si>
  <si>
    <t>502-370</t>
  </si>
  <si>
    <t>4601004018945</t>
  </si>
  <si>
    <t>Елочная фигура Снежинка Морозко, 66 см, цвет белый</t>
  </si>
  <si>
    <t>502-371</t>
  </si>
  <si>
    <t>4601004004115</t>
  </si>
  <si>
    <t>Елочная фигура Снежинка Морозко, 66 см, цвет золотой</t>
  </si>
  <si>
    <t>502-372</t>
  </si>
  <si>
    <t>4601004018952</t>
  </si>
  <si>
    <t>Елочная фигура Снежинка Морозко, 66 см, цвет синий</t>
  </si>
  <si>
    <t>502-361</t>
  </si>
  <si>
    <t>4601004004184</t>
  </si>
  <si>
    <t>Елочная фигура Снежинка резная 3D, 61 см, цвет золотой</t>
  </si>
  <si>
    <t>502-362</t>
  </si>
  <si>
    <t>4601004018914</t>
  </si>
  <si>
    <t>Елочная фигура Снежинка резная 3D, 61 см, цвет красный</t>
  </si>
  <si>
    <t>502-363</t>
  </si>
  <si>
    <t>4601004018921</t>
  </si>
  <si>
    <t>Елочная фигура Снежинка резная 3D, 61 см, цвет синий</t>
  </si>
  <si>
    <t>502-381</t>
  </si>
  <si>
    <t>4601004019003</t>
  </si>
  <si>
    <t>Елочная фигура Снежинка резная, 81 см, цвет золотой</t>
  </si>
  <si>
    <t>502-382</t>
  </si>
  <si>
    <t>4601004019010</t>
  </si>
  <si>
    <t>Елочная фигура Снежинка резная, 81 см, цвет красный</t>
  </si>
  <si>
    <t>502-375</t>
  </si>
  <si>
    <t>4601004004139</t>
  </si>
  <si>
    <t>Елочная фигура Снежинка резная, 81 см, цвет серебряный</t>
  </si>
  <si>
    <t>502-383</t>
  </si>
  <si>
    <t>4601004019027</t>
  </si>
  <si>
    <t>Елочная фигура Снежинка резная, 81 см, цвет синий</t>
  </si>
  <si>
    <t>502-388</t>
  </si>
  <si>
    <t>4601004019058</t>
  </si>
  <si>
    <t>Елочная фигура Снежинка сказочная 40 см, цвет красный/золотой</t>
  </si>
  <si>
    <t>502-376</t>
  </si>
  <si>
    <t>4601004004221</t>
  </si>
  <si>
    <t>Елочная фигура Снежинка Снегурочка, 81 см, цвет белый</t>
  </si>
  <si>
    <t>502-378</t>
  </si>
  <si>
    <t>4601004018983</t>
  </si>
  <si>
    <t>Елочная фигура Снежинка Снегурочка, 81 см, цвет голубой</t>
  </si>
  <si>
    <t>502-379</t>
  </si>
  <si>
    <t>4601004018990</t>
  </si>
  <si>
    <t>Елочная фигура Снежинка Снегурочка, 81 см, цвет золотой</t>
  </si>
  <si>
    <t>502-374</t>
  </si>
  <si>
    <t>4601004018969</t>
  </si>
  <si>
    <t>Елочная фигура Снежинка Снегурочка, 81 см, цвет шампань</t>
  </si>
  <si>
    <t>502-377</t>
  </si>
  <si>
    <t>4601004018976</t>
  </si>
  <si>
    <t>Елочная фигура Снежинка Снегурочка, 82 см, цвет фиолетовый</t>
  </si>
  <si>
    <t>502-321</t>
  </si>
  <si>
    <t>4601004018846</t>
  </si>
  <si>
    <t>Елочная фигура Сосулька складная 3D, 51 см, цвет золотой</t>
  </si>
  <si>
    <t>502-322</t>
  </si>
  <si>
    <t>4601004004283</t>
  </si>
  <si>
    <t>Елочная фигура Сосулька складная 3D, 51 см, цвет красный</t>
  </si>
  <si>
    <t>502-323</t>
  </si>
  <si>
    <t>4601004018853</t>
  </si>
  <si>
    <t>Елочная фигура Сосулька складная 3D, 51 см, цвет синий</t>
  </si>
  <si>
    <t>502-234</t>
  </si>
  <si>
    <t>4601004004368</t>
  </si>
  <si>
    <t>Елочная фигура Сосулька, 91 см, цвет зеленый</t>
  </si>
  <si>
    <t>502-394</t>
  </si>
  <si>
    <t>4601004019102</t>
  </si>
  <si>
    <t>Фигура Снеговик в шляпе 175*90 см, цвет белый</t>
  </si>
  <si>
    <t>513-305</t>
  </si>
  <si>
    <t>4601004012684</t>
  </si>
  <si>
    <t>Акриловая светодиодная фигура Бурый олень 100 см, 380 светодиодов, IP 65, понижающий трансформатор в комплекте, NEON-NIGHT</t>
  </si>
  <si>
    <t>513-106</t>
  </si>
  <si>
    <t>4601004247444</t>
  </si>
  <si>
    <t>Акриловая светодиодная фигура Оленёнок коричневый 85х71х20 см, 150 светодиодов, IP65 понижающий трансформатор в комплекте, NEON-NIGHT</t>
  </si>
  <si>
    <t>513-271</t>
  </si>
  <si>
    <t>4601004003415</t>
  </si>
  <si>
    <t>Акриловая светодиодная фигура Северный олень 130 см, 380 светодиодов, IP65 понижающий трансформатор в комплекте NEON-NIGHT</t>
  </si>
  <si>
    <t>513-307</t>
  </si>
  <si>
    <t>4601004259478</t>
  </si>
  <si>
    <t>Акриловая светодиодная фигура Снежный олень 100 см, 380 светодиодов, IP 65, понижающий трансформатор в комплекте, NEON-NIGHT</t>
  </si>
  <si>
    <t>501-313</t>
  </si>
  <si>
    <t>4601004013988</t>
  </si>
  <si>
    <t>Фигура Большая Снежинка цвет ТЕПЛЫЙ БЕЛЫЙ, размер 95x95 см NEON-NIGHT</t>
  </si>
  <si>
    <t>501-211</t>
  </si>
  <si>
    <t>4601004008953</t>
  </si>
  <si>
    <t>Фигура Звездочка цвет ТЕПЛЫЙ БЕЛЫЙ, размер 30x28 см NEON-NIGHT</t>
  </si>
  <si>
    <t>501-333</t>
  </si>
  <si>
    <t>4601004001817</t>
  </si>
  <si>
    <t>Фигура световая Большая Снежинка цвет белый, размер 95x95 см NEON-NIGHT</t>
  </si>
  <si>
    <t>501-332</t>
  </si>
  <si>
    <t>4601004014077</t>
  </si>
  <si>
    <t>Фигура световая Большая Снежинка цвет синий, размер 95x95 см NEON-NIGHT</t>
  </si>
  <si>
    <t>501-211-1</t>
  </si>
  <si>
    <t>4601004008991</t>
  </si>
  <si>
    <t>Фигура световая Звездочка LED цвет белый, размер 30x28 см NEON-NIGHT</t>
  </si>
  <si>
    <t>501-531</t>
  </si>
  <si>
    <t>4601004014138</t>
  </si>
  <si>
    <t>Фигура световая Снежинка цвет белая/синяя, размер 60x60 см, с контроллером NEON-NIGHT</t>
  </si>
  <si>
    <t>501-334</t>
  </si>
  <si>
    <t>4601004001855</t>
  </si>
  <si>
    <t>Фигура световая Снежинка цвет белый, размер 55x55см NEON-NIGHT</t>
  </si>
  <si>
    <t>501-337</t>
  </si>
  <si>
    <t>4601004001800</t>
  </si>
  <si>
    <t>Фигура световая Снежинка цвет белый, размер 55x55 см, мерцающая NEON-NIGHT</t>
  </si>
  <si>
    <t>501-338</t>
  </si>
  <si>
    <t>4601004001794</t>
  </si>
  <si>
    <t>Фигура световая Снежинка цвет белый, размер 95x95 см, мерцающая NEON-NIGHT</t>
  </si>
  <si>
    <t>501-335</t>
  </si>
  <si>
    <t>4601004003910</t>
  </si>
  <si>
    <t>Фигура Снежинка LED Светодиодная, без контр. размер 55x55см, СИНЯЯ NEON-NIGHT</t>
  </si>
  <si>
    <t>501-343</t>
  </si>
  <si>
    <t>4601004257504</t>
  </si>
  <si>
    <t>Фигура Снежинка из гибкого неона, 60х60 см, цвет свечения синий NEON-NIGHT</t>
  </si>
  <si>
    <t>501-225</t>
  </si>
  <si>
    <t>4601004180031</t>
  </si>
  <si>
    <t>Фигура Снежинка из гибкого неона с эффектом тающих сосулек, 60х60 см, цвет свечения белый NEON-NIGHT</t>
  </si>
  <si>
    <t>501-223</t>
  </si>
  <si>
    <t>4601004224964</t>
  </si>
  <si>
    <t>Фигура Снежинка из гибкого неона с эффектом тающих сосулек, 60х60 см, цвет свечения синий/белый NEON-NIGHT</t>
  </si>
  <si>
    <t>501-226</t>
  </si>
  <si>
    <t>4601004180048</t>
  </si>
  <si>
    <t>Фигура Снежинка из гибкого неона с эффектом тающих сосулек, 60х60 см, цвет свечения теплый белый/белый NEON-NIGHT</t>
  </si>
  <si>
    <t>501-325</t>
  </si>
  <si>
    <t>4601004180024</t>
  </si>
  <si>
    <t>Фигура Снежинка из гибкого неона, 60х60 см, цвет свечения белый NEON-NIGHT</t>
  </si>
  <si>
    <t>501-326</t>
  </si>
  <si>
    <t>4601004224926</t>
  </si>
  <si>
    <t>Фигура Снежинка из гибкого неона, 60х60 см, цвет свечения теплый белый NEON-NIGHT</t>
  </si>
  <si>
    <t>501-324</t>
  </si>
  <si>
    <t>4601004008670</t>
  </si>
  <si>
    <t>Фигура Снежинка цвет ТЕПЛЫЙ БЕЛЫЙ, размер 55x55 см NEON-NIGHT</t>
  </si>
  <si>
    <t>501-363</t>
  </si>
  <si>
    <t>4601004257412</t>
  </si>
  <si>
    <t>Фигура Снежинка цвет свечения синий, размер 45х38 см NEON-NIGHT</t>
  </si>
  <si>
    <t>501-212-1</t>
  </si>
  <si>
    <t>4601004008984</t>
  </si>
  <si>
    <t>Фигура Снежинка цвет белый, размер 45x38 см NEON-NIGHT</t>
  </si>
  <si>
    <t>501-212</t>
  </si>
  <si>
    <t>4601004001824</t>
  </si>
  <si>
    <t>Фигура Снежинка цвет ТЕПЛЫЙ БЕЛЫЙ, размер 45x38 см NEON-NIGHT</t>
  </si>
  <si>
    <t>501-113</t>
  </si>
  <si>
    <t>4601004003965</t>
  </si>
  <si>
    <t>Надпись прописная светодиодная С Новым Годом красная 230x90 см NEON-NIGHT</t>
  </si>
  <si>
    <t>501-352</t>
  </si>
  <si>
    <t>4601004017528</t>
  </si>
  <si>
    <t>Фигура световая Елочка размер 200x68см NEON-NIGHT</t>
  </si>
  <si>
    <t>501-314</t>
  </si>
  <si>
    <t>4601004179929</t>
  </si>
  <si>
    <t>Фигура световая Сказочный олень из гибкого неона, 140х93 см, 1680 LED, цвет свечения белый NEON-NIGHT</t>
  </si>
  <si>
    <t>501-359</t>
  </si>
  <si>
    <t>4601004179943</t>
  </si>
  <si>
    <t>Фигура световая Снежинка 125х120 см, 200 LED, IP65, цвет свечения белый NEON-NIGHT</t>
  </si>
  <si>
    <t>501-355</t>
  </si>
  <si>
    <t>4601004017559</t>
  </si>
  <si>
    <t>Фигура световая Созвездие размер 55x100см, свечение белое NEON-NIGHT</t>
  </si>
  <si>
    <t>S-0003</t>
  </si>
  <si>
    <t>2000604391946</t>
  </si>
  <si>
    <t>Световое пано Перо павлина 80х50 см</t>
  </si>
  <si>
    <t>501-236</t>
  </si>
  <si>
    <t>4601004257467</t>
  </si>
  <si>
    <t>Фигура объемная Олень 115х195 см, 528 LED, IP65, цвет свечения теплый белый NEON-NIGHT</t>
  </si>
  <si>
    <t>501-237</t>
  </si>
  <si>
    <t>4601004280847</t>
  </si>
  <si>
    <t>Фигура объемная Олень 115х195см, 528 LED, IP65, цвет свечения белый NEON-NIGHT</t>
  </si>
  <si>
    <t>501-417</t>
  </si>
  <si>
    <t>2000321560274</t>
  </si>
  <si>
    <t>Фигура объемная пушистая Олень Лежачий</t>
  </si>
  <si>
    <t>501-235</t>
  </si>
  <si>
    <t>4601004179882</t>
  </si>
  <si>
    <t>Фигура объемная Северный олень 300х200 см, 3000 LED, IP65, цвет свечения теплый белый NEON-NIGHT</t>
  </si>
  <si>
    <t>503-112</t>
  </si>
  <si>
    <t>2000604421292</t>
  </si>
  <si>
    <t>Фигура олени с санями 350х195 см NEON-NIGHT</t>
  </si>
  <si>
    <t>506-212</t>
  </si>
  <si>
    <t>2000031067032</t>
  </si>
  <si>
    <t>Фигура Шар, LED подсветка диам. 40см, синий NEON-NIGHT</t>
  </si>
  <si>
    <t>501-625</t>
  </si>
  <si>
    <t>4601004017603</t>
  </si>
  <si>
    <t>Шар светодиодный 230V, диаметр 120 см, 600 светодиодов, цвет белый</t>
  </si>
  <si>
    <t>501-629</t>
  </si>
  <si>
    <t>4601004224933</t>
  </si>
  <si>
    <t>Шар светодиодный 230V, диаметр 120 см, 600 светодиодов,эффект мерцания, цвет теплый белый</t>
  </si>
  <si>
    <t>501-612</t>
  </si>
  <si>
    <t>4601004010802</t>
  </si>
  <si>
    <t>Шар светодиодный 230V, диаметр 30 см, 120 светодиодов, эффект мерцания, цвет белый NEON-NIGHT</t>
  </si>
  <si>
    <t>501-609</t>
  </si>
  <si>
    <t>4601004224919</t>
  </si>
  <si>
    <t>Шар светодиодный 230V, диаметр 30 см, 120 светодиодов, эффект мерцания, цвет теплый белый NEON-NIGHT</t>
  </si>
  <si>
    <t>501-613</t>
  </si>
  <si>
    <t>4601004010789</t>
  </si>
  <si>
    <t>Шар светодиодный 230V, диаметр 50 см, 200 светодиодов, эффект мерцания, цвет белый NEON-NIGHT</t>
  </si>
  <si>
    <t>501-615</t>
  </si>
  <si>
    <t>4601004305168</t>
  </si>
  <si>
    <t>Светодиодная фигура Шар диаметр 50см 200 LED ТЕПЛЫЙ БЕЛЫЙ эффект мерцания 230В NEON-NIGHT</t>
  </si>
  <si>
    <t>501-616</t>
  </si>
  <si>
    <t>4601004305212</t>
  </si>
  <si>
    <t>Светодиодная фигура Шар диаметр 80см 300 LED ТЕПЛЫЙ БЕЛЫЙ эффект мерцания 230В NEON-NIGHT</t>
  </si>
  <si>
    <t>501-644</t>
  </si>
  <si>
    <t>4601004179721</t>
  </si>
  <si>
    <t>Шар светодиодный Ø 50 см, 200 светодиодов, теплый белый цвет свечения с эффектом мерцания NEON-NIGHT</t>
  </si>
  <si>
    <t>501-614</t>
  </si>
  <si>
    <t>4601004010796</t>
  </si>
  <si>
    <t>Шар светодиодный 230V, диаметр 80 см, 450 светодиодов, эффект мерцания, цвет белый NEON-NIGHT</t>
  </si>
  <si>
    <t>501-624</t>
  </si>
  <si>
    <t>4601004017597</t>
  </si>
  <si>
    <t>Шар светодиодный 230V, диаметр 90 см, 372 светодиода, цвет белый</t>
  </si>
  <si>
    <t>513-455</t>
  </si>
  <si>
    <t>4601004017023</t>
  </si>
  <si>
    <t>Акриловая светодиодная фигура Звезда 50см, со съемной трубой и кольцом для подвеса,160 светодиодов, белая NEON-NIGHT</t>
  </si>
  <si>
    <t>513-452</t>
  </si>
  <si>
    <t>4601004017016</t>
  </si>
  <si>
    <t>Акриловая светодиодная фигура Звезда 50см, 160 светодиодов, красная NEON-NIGHT</t>
  </si>
  <si>
    <t>513-456</t>
  </si>
  <si>
    <t>4601004257733</t>
  </si>
  <si>
    <t>Акриловая светодиодная фигура Звезда 80 см, 210 светодиодов, красная NEON-NIGHT</t>
  </si>
  <si>
    <t>514-275</t>
  </si>
  <si>
    <t>4601004257443</t>
  </si>
  <si>
    <t>Светодиодная фигура Звезда 100 см, 200 светодиодов, с трубой и подвесом, цвет свечения белый NEON-NIGHT</t>
  </si>
  <si>
    <t>514-274</t>
  </si>
  <si>
    <t>4601004257436</t>
  </si>
  <si>
    <t>Светодиодная фигура Звезда 100 см, 200 светодиодов, с трубой и подвесом, цвет свечения красный NEON-NIGHT</t>
  </si>
  <si>
    <t>514-272</t>
  </si>
  <si>
    <t>4601004179905</t>
  </si>
  <si>
    <t>Светодиодная фигура Звезда 50 см, 80 светодиодов, с трубой и подвесом, цвет свечения белый NEON-NIGHT</t>
  </si>
  <si>
    <t>514-271</t>
  </si>
  <si>
    <t>4601004179899</t>
  </si>
  <si>
    <t>Светодиодная фигура Звезда 50 см, 80 светодиодов, с трубой и подвесом, цвет свечения теплый белый NEON-NIGHT</t>
  </si>
  <si>
    <t>514-273</t>
  </si>
  <si>
    <t>4601004179912</t>
  </si>
  <si>
    <t>Светодиодная фигура Звезда 80 см, 80 светодиодов, с трубой и подвесом, цвет свечения теплый белый/белый NEON-NIGHT</t>
  </si>
  <si>
    <t>124-019</t>
  </si>
  <si>
    <t>4601004285156</t>
  </si>
  <si>
    <t>Коннектор-переходник (шнур) гирлянда – дюралайт NEON-NIGHT</t>
  </si>
  <si>
    <t>124-112</t>
  </si>
  <si>
    <t>4601004154179</t>
  </si>
  <si>
    <t>Коннектор-переходник (шнур) дюралайт – гирлянда NEON-NIGHT</t>
  </si>
  <si>
    <t>235-000</t>
  </si>
  <si>
    <t>4601004091986</t>
  </si>
  <si>
    <t>Контроллер для уличных гирлянд с постоянным свечением Professional, 8 режимов</t>
  </si>
  <si>
    <t>245-908</t>
  </si>
  <si>
    <t>4601004257832</t>
  </si>
  <si>
    <t>Контроллер с радиопультом для RGB-гирлянд</t>
  </si>
  <si>
    <t>255-000</t>
  </si>
  <si>
    <t>4601004283206</t>
  </si>
  <si>
    <t>Контроллер с радиопультом для гирлянд ,IP44, ON/OFF/Таймер</t>
  </si>
  <si>
    <t>217-203</t>
  </si>
  <si>
    <t>4601004283695</t>
  </si>
  <si>
    <t>Контроллер с радиопультом для уличных гирлянд Сеть и Твинкл, белый NEON-NIGHT</t>
  </si>
  <si>
    <t>217-204</t>
  </si>
  <si>
    <t>4601004285163</t>
  </si>
  <si>
    <t>Контроллер с радиопультом для уличных гирлянд Сеть и Твинкл, черный NEON-NIGHT</t>
  </si>
  <si>
    <t>https://catalog.onliner.by/ledcontrol/neonnight/neon217204</t>
  </si>
  <si>
    <t>315-407</t>
  </si>
  <si>
    <t>4601004257771</t>
  </si>
  <si>
    <t>Разветвитель - шина для уличных гирлянд Professional (1 вход, 20 выходов), белый ПВХ</t>
  </si>
  <si>
    <t>315-406</t>
  </si>
  <si>
    <t>4601004183827</t>
  </si>
  <si>
    <t>Разветвитель - шина для уличных гирлянд Professional (1 вход, 5 выходов) белый ПВХ</t>
  </si>
  <si>
    <t>315-409</t>
  </si>
  <si>
    <t>4601004257818</t>
  </si>
  <si>
    <t>Разветвитель - шина для уличных гирлянд Professional (1 вход, 5 выходов), расстояние 100 см, белый ПВХ</t>
  </si>
  <si>
    <t>315-408</t>
  </si>
  <si>
    <t>4601004257795</t>
  </si>
  <si>
    <t>Разветвитель - шина для уличных гирлянд Professional (1 вход, 5 выходов), расстояние 50 см, белый ПВХ</t>
  </si>
  <si>
    <t>315-404</t>
  </si>
  <si>
    <t>4601004183810</t>
  </si>
  <si>
    <t>Разветвитель -Y (шнур) для уличных гирлянд Professional (1 вход, 2 выхода) белый ПВХ</t>
  </si>
  <si>
    <t>315-434</t>
  </si>
  <si>
    <t>4601004198036</t>
  </si>
  <si>
    <t>Разветвитель -Y для уличных гирлянд Professional (1 вход, 5 выходов) белый ПВХ</t>
  </si>
  <si>
    <t>315-421</t>
  </si>
  <si>
    <t>4601004183834</t>
  </si>
  <si>
    <t>Удлинитель (шнур) для уличных гирлянд Professional 3 м белый ПВХ</t>
  </si>
  <si>
    <t>315-411</t>
  </si>
  <si>
    <t>4601004303966</t>
  </si>
  <si>
    <t>Разветвитель-Y для уличных гирлянд Professional (1 вход, 3 выхода) белый ПВХ NEON-NIGHT</t>
  </si>
  <si>
    <t>315-435</t>
  </si>
  <si>
    <t>4601004303959</t>
  </si>
  <si>
    <t>Коннектор с проводами папа-мама, 2 pin, белый каучук NEON-NIGHT</t>
  </si>
  <si>
    <t>315-436</t>
  </si>
  <si>
    <t>4601004303980</t>
  </si>
  <si>
    <t>Коннектор с проводами папа-мама, 2 pin, черный каучук NEON-NIGHT</t>
  </si>
  <si>
    <t>Наименование</t>
  </si>
  <si>
    <t>РРЦ</t>
  </si>
  <si>
    <t>1/120</t>
  </si>
  <si>
    <t>1/180</t>
  </si>
  <si>
    <t>1/100</t>
  </si>
  <si>
    <t>1/60</t>
  </si>
  <si>
    <t>1/200</t>
  </si>
  <si>
    <t>303-023</t>
  </si>
  <si>
    <t>1/300</t>
  </si>
  <si>
    <t>1/50</t>
  </si>
  <si>
    <t>1/64</t>
  </si>
  <si>
    <t>1/250</t>
  </si>
  <si>
    <t>10/1000</t>
  </si>
  <si>
    <t>10/10</t>
  </si>
  <si>
    <t>10/2000</t>
  </si>
  <si>
    <t>10/300</t>
  </si>
  <si>
    <t>1/40</t>
  </si>
  <si>
    <t>1/20</t>
  </si>
  <si>
    <t>1/30</t>
  </si>
  <si>
    <t>1/25</t>
  </si>
  <si>
    <t>1/15</t>
  </si>
  <si>
    <t>1/24</t>
  </si>
  <si>
    <t>10/500</t>
  </si>
  <si>
    <t>1/48</t>
  </si>
  <si>
    <t>1/1</t>
  </si>
  <si>
    <t>1/16</t>
  </si>
  <si>
    <t>1/12</t>
  </si>
  <si>
    <t>1/10</t>
  </si>
  <si>
    <t>1/36</t>
  </si>
  <si>
    <t>1/2</t>
  </si>
  <si>
    <t>1/150</t>
  </si>
  <si>
    <t>1/96</t>
  </si>
  <si>
    <t>1/72</t>
  </si>
  <si>
    <t>1/108</t>
  </si>
  <si>
    <t>1/4</t>
  </si>
  <si>
    <t>1/8</t>
  </si>
  <si>
    <t>1/6</t>
  </si>
  <si>
    <t>100/100</t>
  </si>
  <si>
    <t>50/50</t>
  </si>
  <si>
    <t>1/5</t>
  </si>
  <si>
    <t>1/160</t>
  </si>
  <si>
    <t>1/18</t>
  </si>
  <si>
    <t>1/9</t>
  </si>
  <si>
    <t>1/32</t>
  </si>
  <si>
    <t>2/100</t>
  </si>
  <si>
    <t>10/100</t>
  </si>
  <si>
    <t>10/200</t>
  </si>
  <si>
    <t>10/800</t>
  </si>
  <si>
    <t>1/3</t>
  </si>
  <si>
    <t>10/5000</t>
  </si>
  <si>
    <t>1/192</t>
  </si>
  <si>
    <t>1</t>
  </si>
  <si>
    <t>1/</t>
  </si>
  <si>
    <t>1/125</t>
  </si>
  <si>
    <t>6/36</t>
  </si>
  <si>
    <t>1/54</t>
  </si>
  <si>
    <t>Штрих код</t>
  </si>
  <si>
    <t>Кратность отгр., КОЛ-ВО
УП./КОР.</t>
  </si>
  <si>
    <t>Гарантия</t>
  </si>
  <si>
    <t>Производитель</t>
  </si>
  <si>
    <t xml:space="preserve">Ссылка на видео www.youtube.com
</t>
  </si>
  <si>
    <r>
      <rPr>
        <b/>
        <sz val="10"/>
        <rFont val="Calibri"/>
        <family val="2"/>
        <charset val="204"/>
      </rPr>
      <t xml:space="preserve">ссылка в каталоге </t>
    </r>
    <r>
      <rPr>
        <b/>
        <sz val="10"/>
        <color rgb="FF000000"/>
        <rFont val="Calibri"/>
        <family val="2"/>
        <charset val="204"/>
      </rPr>
      <t>Onliner.by</t>
    </r>
  </si>
  <si>
    <t>ссылка на сайт www.pronto.by</t>
  </si>
  <si>
    <t>Сервисный центр: ООО «ПронтоТелеком»  - Брак меняется.</t>
  </si>
  <si>
    <t>Как украсить дом к Новому году и Рождеству NEON NIGHT</t>
  </si>
  <si>
    <t>https://www.youtube.com/watch?v=LJkwWT9q8Hk</t>
  </si>
  <si>
    <t xml:space="preserve">Ландшафтная подсветка NEON NIGHT </t>
  </si>
  <si>
    <t>https://www.youtube.com/watch?v=0Hr23xwOa7k</t>
  </si>
  <si>
    <t>Ранчо Neon night улица</t>
  </si>
  <si>
    <t>https://www.youtube.com/watch?v=ueq9QxiP_7A</t>
  </si>
  <si>
    <t>Ранчо Neon night зал</t>
  </si>
  <si>
    <t>https://www.youtube.com/watch?v=w8L2FLkqyEA</t>
  </si>
  <si>
    <t>Ночной Neon night</t>
  </si>
  <si>
    <t>https://www.youtube.com/watch?v=jGv1BwBAEyc</t>
  </si>
  <si>
    <t>Лесной дом Алабушево</t>
  </si>
  <si>
    <t>https://www.youtube.com/watch?v=PQjTls-h_Hc</t>
  </si>
  <si>
    <t>Демозал Neon Night</t>
  </si>
  <si>
    <t>https://www.youtube.com/watch?v=0hQ8NjiJq_g</t>
  </si>
  <si>
    <t>HOME - Конечные потребители</t>
  </si>
  <si>
    <t>Гирлянды с насадками</t>
  </si>
  <si>
    <t>12 месяцев</t>
  </si>
  <si>
    <t>Гирлянды на батарейках</t>
  </si>
  <si>
    <t>303-081</t>
  </si>
  <si>
    <t>4601004148314</t>
  </si>
  <si>
    <t>Гирлянда светодиодная Новый год 1,5 м, прозрачный ПВХ, 10 LED, теплый белый, питание 2 х АА</t>
  </si>
  <si>
    <t>303-099</t>
  </si>
  <si>
    <t>4601004148291</t>
  </si>
  <si>
    <t>Тайские фонарики Фейерверк 1,5 м, прозрачный ПВХ, 10 LED, теплый белый, питание 2 х АА (батарейки не в комплекте)</t>
  </si>
  <si>
    <t>Гирлянда Роса</t>
  </si>
  <si>
    <t>Гирлянда светодиодная Роса 10м, 100LED, БЕЛЫЙ, IP20, USB NEON-NIGHT</t>
  </si>
  <si>
    <t>Гирлянда светодиодная Роса 10м, 100LED, ТЕПЛЫЙ БЕЛЫЙ, IP20, IP20, USB NEON-NIGHT</t>
  </si>
  <si>
    <t>Гирлянда светодиодная Роса 2м, 20 LED, МУЛЬТИКОЛОР, IP20, тонкий батарейный блок, 2хCR2032 в комплекте NEON-NIGHT</t>
  </si>
  <si>
    <t>Гирлянда светодиодная Роса 2м, 20 LED, ТЕПЛЫЙ БЕЛЫЙ, IP20, 2хCR2032 в комплекте NEON-NIGHT</t>
  </si>
  <si>
    <t>Гирлянда светодиодная Роса 5 м, 50LED, БЕЛЫЙ, IP20, USB NEON-NIGHT</t>
  </si>
  <si>
    <t>Гирлянда светодиодная Роса 5 м, 50LED, ТЕПЛЫЙ БЕЛЫЙ, IP20, USB NEON-NIGHT</t>
  </si>
  <si>
    <t>Гирлянда светодиодная Роса с крупными каплями 2м, 20LED, МУЛЬТИКОЛОР, IP20, тонкий батарейный блок, 2хCR2032 в комплекте NEON-NIGHT</t>
  </si>
  <si>
    <t>Гирлянда светодиодная Роса с пробкой 2м, 20LED, БЕЛЫЙ, IP20, 3хLR44 в комплекте NEON-NIGHT</t>
  </si>
  <si>
    <t>Гирлянда светодиодная Роса с пробкой 2м, 20LED, ТЕПЛЫЙ БЕЛЫЙ, IP20, 3хLR44 в комплекте NEON-NIGHT</t>
  </si>
  <si>
    <t>302-029</t>
  </si>
  <si>
    <t>4601004184060</t>
  </si>
  <si>
    <t>Гирлянда светодиодная Роса с пробкой 2м, 20LED,МУЛЬТИКОЛОР, IP20, 3хLR44 в комплекте NEON-NIGHT</t>
  </si>
  <si>
    <t>Гирлянда светодиодная Роса с контроллером 30м, 300LED, БЕЛЫЙ, IP20, 230В, зеленый провод NEON-NIGHT</t>
  </si>
  <si>
    <t>Гирлянда светодиодная Роса с контроллером 100м, 1000LED, ТЕПЛЫЙ БЕЛЫЙ, IP20, 230В, зеленый провод NEON-NIGHT</t>
  </si>
  <si>
    <t>Гирлянда светодиодная Роса с контроллером 20м, 200LED, БЕЛЫЙ, IP20, 230В, зеленый провод NEON-NIGHT</t>
  </si>
  <si>
    <t>Гирлянда светодиодная Роса с контроллером 20м, 200LED, ТЕПЛЫЙ БЕЛЫЙ, IP20, 230В, зеленый провод NEON-NIGHT</t>
  </si>
  <si>
    <t>Гирлянда светодиодная Роса с контроллером 30м, 300LED, ТЕПЛЫЙ БЕЛЫЙ, IP20, 230В, зеленый провод NEON-NIGHT</t>
  </si>
  <si>
    <t>Гирлянда светодиодная Роса с контроллером 50м, 500LED, БЕЛЫЙ, IP20, 230В, зеленый провод NEON-NIGHT</t>
  </si>
  <si>
    <t>Гирлянда светодиодная Роса с контроллером 50м, 500LED, ТЕПЛЫЙ БЕЛЫЙ, IP20, 230В, зеленый провод NEON-NIGHT</t>
  </si>
  <si>
    <t>Гирлянда светодиодная Роса Фейерверк с контроллером 10м, 250LED, ТЕПЛЫЙ БЕЛЫЙ, IP20, на катушке NEON-NIGHT</t>
  </si>
  <si>
    <t>Гирлянда светодиодная Роса Фейерверк с контроллером 20м, 500LED, ТЕПЛЫЙ БЕЛЫЙ, IP20, на катушке NEON-NIGHT</t>
  </si>
  <si>
    <t>Home Гирлянда Занавес / дождь</t>
  </si>
  <si>
    <t>Home Занавес 1,5х1 м</t>
  </si>
  <si>
    <t>Home Занавес 1,5х1,5 м</t>
  </si>
  <si>
    <t>Гирлянда Светодиодный Дождь 1.5x1.5 м, прозрачный ПВХ, 144 LED с контроллером, теплое белое свечение NEON-NIGHT</t>
  </si>
  <si>
    <t>Home Занавес 2,5х2 м</t>
  </si>
  <si>
    <t>Home Занавес 2х3 м</t>
  </si>
  <si>
    <t>Home Занавес 3х2 м</t>
  </si>
  <si>
    <t>Гирлянда Светодиодный Дождь 3х2 м, эффект водопада, прозрачный провод, 230 В, диоды белые, 240 LED</t>
  </si>
  <si>
    <t>Гирлянда Светодиодный Дождь 3х2 м, свечение с динамикой, прозрачный провод, 230 В, цвет розовый</t>
  </si>
  <si>
    <t>Занавес из росы</t>
  </si>
  <si>
    <t>Гирлянда Светодиодный дождь из росы 3х3 м, бирюзовый, USB + пульт управления NEON-NIGHT</t>
  </si>
  <si>
    <t>Гирлянда Светодиодный дождь из росы 3х3 м, розовый, USB + пульт управления NEON-NIGHT</t>
  </si>
  <si>
    <t>Home Гирлянда Бахрома / айсикл</t>
  </si>
  <si>
    <t>Гирлянда Бахрома (Айсикл), 1,8х0,5м, 48 LED RGB, прозрачный ПВХ, IP20, быстрая смена цвета, 230В, не соединяется</t>
  </si>
  <si>
    <t>Гирлянда Бахрома (Айсикл), 1,8х0,5м, 48 LED БЕЛЫЕ, прозрачный ПВХ, IP20, свечение с динамикой, 230В, не соединяется</t>
  </si>
  <si>
    <t>Гирлянда Бахрома (Айсикл), 1,8х0,5м, 48 LED МУЛЬТИКОЛОР, прозрачный ПВХ, IP20, свечение с динамикой, 230В, не соединяется ТОП</t>
  </si>
  <si>
    <t>Гирлянда Бахрома (Айсикл), 1,8х0,5м, 48 LED СИНИЕ, прозрачный ПВХ, IP20, свечение с динамикой, 230В, не соединяется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</si>
  <si>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</si>
  <si>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Home Гирлянда Сеть</t>
  </si>
  <si>
    <t>Гирлянда Сеть 1,8х1,5м, прозрачный ПВХ, 180 LED Белый</t>
  </si>
  <si>
    <t>Гирлянда сеть 1,8х1,5м, прозрачный ПВХ, 180 LED, Синий</t>
  </si>
  <si>
    <t>Home Твинкл-лайт 4м</t>
  </si>
  <si>
    <t>Home Твинкл-лайт 6м</t>
  </si>
  <si>
    <t>4601004090613</t>
  </si>
  <si>
    <t>Гирлянда Твинкл Лайт 6 м, темно-зеленый ПВХ, 40 LED, цвет: Синий</t>
  </si>
  <si>
    <t>Home Твинкл-лайт 10м</t>
  </si>
  <si>
    <t>Home Твинкл-лайт 15м</t>
  </si>
  <si>
    <t>Home Твинкл-лайт 20м</t>
  </si>
  <si>
    <t>Home Гирлянда Елочная</t>
  </si>
  <si>
    <t>Гирлянда светодиодная из росы с макушкой на елку 9 нитей х 2м, 200LED, эффект водопада, теплый белый цвет, 230В NEON-NIGHT</t>
  </si>
  <si>
    <t>Гирлянда Мишура</t>
  </si>
  <si>
    <t>303-608</t>
  </si>
  <si>
    <t>4601004148727</t>
  </si>
  <si>
    <t>Гирлянда Мишура LED 3 м, темно-зеленый ПВХ, 288 диодов, цвет белый + теплый белый</t>
  </si>
  <si>
    <t>Home Гирлянда Кластер</t>
  </si>
  <si>
    <t>Home Гирлянда Шарики</t>
  </si>
  <si>
    <t>Гирлянды управляемые</t>
  </si>
  <si>
    <t>Умная гирлянда Роса с крупными каплями 10м 100 LED RGB мягкий прозрачный провод IP20 USB NEON-NIGHT</t>
  </si>
  <si>
    <t>Фигуры интерьерные</t>
  </si>
  <si>
    <t>Фонари с эффектом снегопада и конфетти</t>
  </si>
  <si>
    <t>501-180</t>
  </si>
  <si>
    <t>4601004304697</t>
  </si>
  <si>
    <t>Светильник декоративный Новогодняя елка с подсветкой и конфетти, 19х17х33см, теплый белый, питание от USB</t>
  </si>
  <si>
    <t>Декоративный светильник Маяк с конфетти и мелодией, USB</t>
  </si>
  <si>
    <t>501-165</t>
  </si>
  <si>
    <t>4601004254749</t>
  </si>
  <si>
    <t>Декоративный фонарь с эффектом снегопада и подсветкой Рождественский лес , белый</t>
  </si>
  <si>
    <t>501-169</t>
  </si>
  <si>
    <t>4601004304789</t>
  </si>
  <si>
    <t>Светильник декоративный Машина с подсветкой и конфетти, 22,5х10х13см, теплый белый, питание от USB</t>
  </si>
  <si>
    <t>501-191</t>
  </si>
  <si>
    <t>4601004335998</t>
  </si>
  <si>
    <t>Декоративный фонарь с эффектом снегопада и подсветкой Семья снеговиков</t>
  </si>
  <si>
    <t>Фонари декоративные</t>
  </si>
  <si>
    <t>https://www.youtube.com/watch?v=617lnLX-ubg</t>
  </si>
  <si>
    <t>https://www.youtube.com/watch?v=yMZW2cpN0Wk</t>
  </si>
  <si>
    <t>https://www.youtube.com/watch?v=lb2G90a2WEw</t>
  </si>
  <si>
    <t>Декоративный фонарь с эффектом пламени свечи, черный корпус, размер 11х11х22,5 см, цвет теплый белый</t>
  </si>
  <si>
    <t>https://www.youtube.com/watch?v=UFzykbf6q3Q</t>
  </si>
  <si>
    <t>https://www.youtube.com/watch?v=clXyK6e-MJk</t>
  </si>
  <si>
    <t>https://www.youtube.com/watch?v=HsJOaYeszNE</t>
  </si>
  <si>
    <t>https://www.youtube.com/watch?v=Efu7_o2ehQc</t>
  </si>
  <si>
    <t>https://www.youtube.com/watch?v=0JcFj0rv83s</t>
  </si>
  <si>
    <t>513-068</t>
  </si>
  <si>
    <t>4601004311152</t>
  </si>
  <si>
    <t>Фонарь декоративный со свечкой 5,5х5,5х12,5см, цвет корпуса белый/красный/ черный, цвет свечения теплый белый, питание 3xLR1130 (в комплекте) N</t>
  </si>
  <si>
    <t>513-069</t>
  </si>
  <si>
    <t>4601004308923</t>
  </si>
  <si>
    <t>Декоративный фонарь со свечкой 9,5см, цвет корпуса белый/черный, цвет свечения теплый белый, питание 3xLR1130  (в комплекте)</t>
  </si>
  <si>
    <t>513-070</t>
  </si>
  <si>
    <t>4601004304741</t>
  </si>
  <si>
    <t>Фонарь декоративный с Росой, черный корпус, 10,5х10,5х24см, теплый белый</t>
  </si>
  <si>
    <t>513-073</t>
  </si>
  <si>
    <t>4601004304765</t>
  </si>
  <si>
    <t>Фонарь декоративный со свечкой, корпус из дерева, бежевый, 15х15х38cм, теплый белый</t>
  </si>
  <si>
    <t>513-074</t>
  </si>
  <si>
    <t>4601004304758</t>
  </si>
  <si>
    <t>Фонарь декоративный со свечкой, корпус из дерева, коричневый, 15х15х38cм, теплый белый</t>
  </si>
  <si>
    <t>513-076</t>
  </si>
  <si>
    <t>4601004311145</t>
  </si>
  <si>
    <t>Фонарь декоративный со свечкой 9х5х13см, цвет корпуса бронзовый, цвет свечения теплый белый, питание 3xLR1130 (в комплекте) NEON-NIGHT</t>
  </si>
  <si>
    <t>Светодиодные камины</t>
  </si>
  <si>
    <t>https://www.youtube.com/watch?v=-vyCWBo6Ptk</t>
  </si>
  <si>
    <t>https://www.youtube.com/watch?v=C8FoiyMazrk</t>
  </si>
  <si>
    <t>https://www.youtube.com/watch?v=OfDozuExewQ</t>
  </si>
  <si>
    <t>https://www.youtube.com/watch?v=9sBwUbTJ5y4</t>
  </si>
  <si>
    <t>https://www.youtube.com/watch?v=5yuXMkoFvuM</t>
  </si>
  <si>
    <t>https://www.youtube.com/watch?v=zS7-mvGEu8c</t>
  </si>
  <si>
    <t>https://www.youtube.com/watch?v=6pUSE445EDY</t>
  </si>
  <si>
    <t>https://www.youtube.com/watch?v=rUbE8OGe2b0</t>
  </si>
  <si>
    <t>https://www.youtube.com/watch?v=w5R8GDgIhMg</t>
  </si>
  <si>
    <t>https://www.youtube.com/watch?v=IMixxc7qZYw&amp;t=3s</t>
  </si>
  <si>
    <t>https://www.youtube.com/watch?v=Sg4Y8CZ_Kdg&amp;t=5s</t>
  </si>
  <si>
    <t>https://www.youtube.com/watch?v=7JYxJC9Dyqw&amp;t=5s</t>
  </si>
  <si>
    <t>https://www.youtube.com/watch?v=2wD2g6xsWzg</t>
  </si>
  <si>
    <t>Деревянные фигурки</t>
  </si>
  <si>
    <t>1/128</t>
  </si>
  <si>
    <t>Керамические фигурки</t>
  </si>
  <si>
    <t>2/2</t>
  </si>
  <si>
    <t>Подвесные фигурки</t>
  </si>
  <si>
    <t>Настольные фигурки</t>
  </si>
  <si>
    <t>https://pronto.by/catalog/prazdnichnaya-svetotehnika/home-konechnye-potrebiteli/figury-interernye/nastolnye-figurki/513-706.html</t>
  </si>
  <si>
    <t>https://www.youtube.com/watch?v=CLNiICrbUUw</t>
  </si>
  <si>
    <t>503-225</t>
  </si>
  <si>
    <t>4601004336414</t>
  </si>
  <si>
    <t>Светодиодная фигура Олень 21см, цвет свечения теплый белый, питание 2хAA (не в комплекте)</t>
  </si>
  <si>
    <t>503-226</t>
  </si>
  <si>
    <t>4601004335790</t>
  </si>
  <si>
    <t>Светодиодная фигура Олень 34см, цвет свечения теплый белый, питание 2хAA (не в комплекте)</t>
  </si>
  <si>
    <t>503-227</t>
  </si>
  <si>
    <t>4601004336407</t>
  </si>
  <si>
    <t>Светодиодная фигура Олень 37см, цвет свечения теплый белый, питание 3хAA (не в комплекте)</t>
  </si>
  <si>
    <t>503-228</t>
  </si>
  <si>
    <t>4601004336353</t>
  </si>
  <si>
    <t>Светодиодная фигура Олень 50см, цвет свечения теплый белый, питание 3хAA (не в комплекте)</t>
  </si>
  <si>
    <t>503-325</t>
  </si>
  <si>
    <t>4601004336438</t>
  </si>
  <si>
    <t>Светодиодные фигуры Подарки 15/20/25 см, цвет свечения теплый белый, питание 2хАА/3хAA/3хАА (не в комплекте)</t>
  </si>
  <si>
    <t>503-326</t>
  </si>
  <si>
    <t>4601004336421</t>
  </si>
  <si>
    <t>Светодиодные фигуры Подарки в форме цилиндра 15/20/25 см, цвет свечения теплый белый, питание 2хАА/3хAA/3хАА (не в комплекте)</t>
  </si>
  <si>
    <t>513-016</t>
  </si>
  <si>
    <t>4601004337046</t>
  </si>
  <si>
    <t>Набор из 4 Гномиков в новогодних колпаках 20 см, цвет свечения теплый белый, питание 3xLR1130 (в комплекте)</t>
  </si>
  <si>
    <t>513-017</t>
  </si>
  <si>
    <t>4601004308930</t>
  </si>
  <si>
    <t>Гномик в новогоднем колпаке 20см, цвет свечения теплый белый, питание 3xLR1130 (в комплекте)</t>
  </si>
  <si>
    <t>513-025</t>
  </si>
  <si>
    <t>4601004310872</t>
  </si>
  <si>
    <t>Фигура светодиодная на подставке Новогодний поезд с мелодией 30,5см, RGB</t>
  </si>
  <si>
    <t>513-029</t>
  </si>
  <si>
    <t>4601004305083</t>
  </si>
  <si>
    <t>Металлическая 3D-фигура Елочка 45см, цвет свечения теплый белый, питание 3хАА (не в комплекте)</t>
  </si>
  <si>
    <t>Диско-лампы</t>
  </si>
  <si>
    <t>https://www.youtube.com/watch?v=3RDDH4RQvbY</t>
  </si>
  <si>
    <t>https://www.youtube.com/watch?v=9-iB482bKBY</t>
  </si>
  <si>
    <t>601-250</t>
  </si>
  <si>
    <t>4601004147096</t>
  </si>
  <si>
    <t>Диско-лампа светодиодная двойная Е27, подставка с цоколем Е27 в комплекте, 230 В</t>
  </si>
  <si>
    <t>https://www.youtube.com/watch?v=Bm0jObepjIg</t>
  </si>
  <si>
    <t>https://www.youtube.com/watch?v=HWHcMRrCqTI</t>
  </si>
  <si>
    <t>601-259</t>
  </si>
  <si>
    <t>4601004305120</t>
  </si>
  <si>
    <t>Диско-лампа E27 с переходником в розетку, проекция звезды</t>
  </si>
  <si>
    <t>601-260</t>
  </si>
  <si>
    <t>4601004309463</t>
  </si>
  <si>
    <t>Диско-лампа Летающая тарелка 48 LED, черный корпус, 230В NEON-NIGHT</t>
  </si>
  <si>
    <t>Проекторы</t>
  </si>
  <si>
    <t>https://www.youtube.com/watch?v=hqfR21i1kVQ</t>
  </si>
  <si>
    <t>https://www.youtube.com/watch?v=z4QoqWqR5S4</t>
  </si>
  <si>
    <t>https://www.youtube.com/watch?v=qdxcVOFxYY0</t>
  </si>
  <si>
    <t>https://www.youtube.com/watch?v=qfRRzN1pz5A</t>
  </si>
  <si>
    <t>https://www.youtube.com/watch?v=Q9u2B2EKLpk</t>
  </si>
  <si>
    <t>https://www.youtube.com/watch?v=iu71NSn7Nas</t>
  </si>
  <si>
    <t>https://www.youtube.com/watch?v=Al15RHFigBo</t>
  </si>
  <si>
    <t>601-527</t>
  </si>
  <si>
    <t>4601004305137</t>
  </si>
  <si>
    <t>Светодиодный ночник-проектор Звездное небо, 3 режима работы, USB</t>
  </si>
  <si>
    <t>601-528</t>
  </si>
  <si>
    <t>4601004305144</t>
  </si>
  <si>
    <t>Светодиодный ночник-проектор Звездное небо на подставке, цвет мультиколор, USB</t>
  </si>
  <si>
    <t>Силиконовые ночники</t>
  </si>
  <si>
    <t>Интерьерный светильник Тукан, соединение по Bluetooth</t>
  </si>
  <si>
    <t>https://www.youtube.com/watch?v=7Kujgxlzix0</t>
  </si>
  <si>
    <t>https://www.youtube.com/watch?v=YyTZeqKH1CE</t>
  </si>
  <si>
    <t>https://www.youtube.com/watch?v=sqz4dBqxF6I</t>
  </si>
  <si>
    <t>https://www.youtube.com/watch?v=dlvlAqVfATA</t>
  </si>
  <si>
    <t>https://www.youtube.com/watch?v=YmSCmO_UKS4</t>
  </si>
  <si>
    <t>https://www.youtube.com/watch?v=94yUpi25PNw</t>
  </si>
  <si>
    <t>https://www.youtube.com/watch?v=dzoiSrY1AJg</t>
  </si>
  <si>
    <t>https://www.youtube.com/watch?v=UsHmFlx0Bss</t>
  </si>
  <si>
    <t>https://www.youtube.com/watch?v=Q06wKjKyZi4</t>
  </si>
  <si>
    <t>Подсвечники и свечи</t>
  </si>
  <si>
    <t>https://www.youtube.com/watch?v=poEmd-AhPxU</t>
  </si>
  <si>
    <t>Акриловые фигурки 3D</t>
  </si>
  <si>
    <t>513-322</t>
  </si>
  <si>
    <t>4601004180147</t>
  </si>
  <si>
    <t>Акриловая светодиодная фигура Елочка 15х15х22 см, 20 светодиодов, батарейки 2хAA (не входят в комплект) NEON-NIGHT</t>
  </si>
  <si>
    <t>513-312</t>
  </si>
  <si>
    <t>4601004003453</t>
  </si>
  <si>
    <t>Акриловая светодиодная фигура Медвежонок 24х11х18 см, 4,5 В, 3 батарейки AA (не входят в комплект), 16 светодиодов NEON-NIGHT</t>
  </si>
  <si>
    <t>513-324</t>
  </si>
  <si>
    <t>4601004180161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</si>
  <si>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</si>
  <si>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</si>
  <si>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4601004180178</t>
  </si>
  <si>
    <t>Акриловая светодиодная фигура Снеговик на лыжах 16х20х29 см, 30 светодиодов, батарейки 3хАА (не входят в комплект) NEON-NIGHT</t>
  </si>
  <si>
    <t>513-275</t>
  </si>
  <si>
    <t>4601004003385</t>
  </si>
  <si>
    <t>Акриловая светодиодная фигура Снеговик с шарфом 30 см, 40 светодиодов, IP 65, понижающий трансформатор в комплекте NEON-NIGHT</t>
  </si>
  <si>
    <t>Фигурки на присоске</t>
  </si>
  <si>
    <t>501-039</t>
  </si>
  <si>
    <t>4601004129313</t>
  </si>
  <si>
    <t>Дед мороз на снежинке RGB 5,5x5,5 см</t>
  </si>
  <si>
    <t>1/960</t>
  </si>
  <si>
    <t>501-037</t>
  </si>
  <si>
    <t>4601004129290</t>
  </si>
  <si>
    <t>Елочка на снежинке RGB 5,5x5,5 см</t>
  </si>
  <si>
    <t>501-038</t>
  </si>
  <si>
    <t>4601004129306</t>
  </si>
  <si>
    <t>Снеговик на снежинке RGB 5,5x5,5 см</t>
  </si>
  <si>
    <t>Елочные фигурки</t>
  </si>
  <si>
    <t>501-136</t>
  </si>
  <si>
    <t>4601004336360</t>
  </si>
  <si>
    <t>Светодиодная фигура на елку Звезда 25см, цвет свечения теплый белый, постоянное свечение, питание 2хAA (не в комплекте)</t>
  </si>
  <si>
    <t>501-096</t>
  </si>
  <si>
    <t>4601004129382</t>
  </si>
  <si>
    <t>Фигурка подвесная Елочка RGB 9x6 см</t>
  </si>
  <si>
    <t>501-092</t>
  </si>
  <si>
    <t>4601004129344</t>
  </si>
  <si>
    <t>Фигурка подвесная Месяц RGB 8x5,5 см</t>
  </si>
  <si>
    <t>501-099</t>
  </si>
  <si>
    <t>4601004129412</t>
  </si>
  <si>
    <t>Фигурка подвесная Новогодний носок RGB 8x6 см</t>
  </si>
  <si>
    <t>501-100</t>
  </si>
  <si>
    <t>4601004129429</t>
  </si>
  <si>
    <t>Фигурка подвесная Санта Клаус RGB 8x6 см</t>
  </si>
  <si>
    <t>501-093</t>
  </si>
  <si>
    <t>4601004129351</t>
  </si>
  <si>
    <t>Фигурка подвесная Сосулька RGB 10x3 см</t>
  </si>
  <si>
    <t>Еловые изделия</t>
  </si>
  <si>
    <t>Шлейфы</t>
  </si>
  <si>
    <t>307-116</t>
  </si>
  <si>
    <t>4601004013636</t>
  </si>
  <si>
    <t>Еловый шлейф 2,7м, диаметр 26см, теплое белое свечение 80 LED с эффектом мерцания NEON-NIGHT</t>
  </si>
  <si>
    <t>307-212</t>
  </si>
  <si>
    <t>4601004132740</t>
  </si>
  <si>
    <t>Гирлянда еловая 2,7м, диаметр 30см, ветки литые + ПВХ NEON-NIGHT</t>
  </si>
  <si>
    <t xml:space="preserve">1/ </t>
  </si>
  <si>
    <t>307-113</t>
  </si>
  <si>
    <t>4601004180970</t>
  </si>
  <si>
    <t>Еловый шлейф с ягодами и гирляндой 1,8м, теплое белое свечение 30 LED, 31В, литой NEON-NIGHT</t>
  </si>
  <si>
    <t>307-122</t>
  </si>
  <si>
    <t>4601004180987</t>
  </si>
  <si>
    <t>Гирлянда еловая заснеженная 2,7м, диаметр 26см, ПВХ NEON-NIGHT</t>
  </si>
  <si>
    <t>Венки</t>
  </si>
  <si>
    <t>307-150</t>
  </si>
  <si>
    <t>4601004180963</t>
  </si>
  <si>
    <t>Еловый венок с ягодами и гирляндой NEON-NIGHT Ø 45 см, 20 LED, 2 х АА, литой, теплое белое свечение</t>
  </si>
  <si>
    <t>307-148</t>
  </si>
  <si>
    <t>4601004180918</t>
  </si>
  <si>
    <t>Заснеженный еловый венок NEON-NIGHT Ø 60 см, ПВХ</t>
  </si>
  <si>
    <t>Елки искусственные</t>
  </si>
  <si>
    <t>Комплекты неона</t>
  </si>
  <si>
    <t>https://www.youtube.com/watch?v=JY_Ka862giA</t>
  </si>
  <si>
    <t>131-024-1</t>
  </si>
  <si>
    <t>4601004173002</t>
  </si>
  <si>
    <t>Набор для создания неоновых фигур NEON-NIGHT Креатив 180 LED, 1.5 м, зеленый</t>
  </si>
  <si>
    <t>OUTDOOR - Конечные потребители и малый бизнес</t>
  </si>
  <si>
    <t>Уличные гирлянды IP44</t>
  </si>
  <si>
    <t>Гирлянда Мультишарики Ø17,5 мм, 10 м, 80 LED МУЛЬТИ, темно-зеленый ПВХ, IP65, динамика, 230В не соединяется NEON-NIGHT</t>
  </si>
  <si>
    <t>Уличная гирлянда Роса</t>
  </si>
  <si>
    <t>303-235</t>
  </si>
  <si>
    <t>4601004254794</t>
  </si>
  <si>
    <t>Гирлянда Роса с трансформатором 100 м, 1000 LED, белое свечение NEON-NIGHT</t>
  </si>
  <si>
    <t>4601004254763</t>
  </si>
  <si>
    <t>Комплекты Белт-лайта с лампами</t>
  </si>
  <si>
    <t>Комплекты Белт-лайта без ламп</t>
  </si>
  <si>
    <t>Комплекты дюралайта</t>
  </si>
  <si>
    <t>https://www.youtube.com/watch?v=V9rkNG240cw</t>
  </si>
  <si>
    <t>https://www.youtube.com/watch?v=nNX4HMOTGNA</t>
  </si>
  <si>
    <t>Комплекты гибкого неона</t>
  </si>
  <si>
    <t>131-007</t>
  </si>
  <si>
    <t>4601004197961</t>
  </si>
  <si>
    <t>Гибкий неон NEON-NIGHT LED SMD 8х16 мм, односторонний белый, 120 LED/м, 20 м</t>
  </si>
  <si>
    <t>Светодиодные деревья</t>
  </si>
  <si>
    <t>Деревья Сакура</t>
  </si>
  <si>
    <t>531-232</t>
  </si>
  <si>
    <t>2000030960914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</si>
  <si>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</si>
  <si>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531-233</t>
  </si>
  <si>
    <t>2000030960907</t>
  </si>
  <si>
    <t>Светодиодное дерево Сакура, высота 3,6м, диаметр кроны 3,0м, синие светодиоды, IP 65, понижающий трансформатор в комплекте, NEON-NIGHT</t>
  </si>
  <si>
    <t>Акриловые фигуры средние</t>
  </si>
  <si>
    <t>513-281</t>
  </si>
  <si>
    <t>4601004180239</t>
  </si>
  <si>
    <t>Акриловая светодиодная фигура Пятнистый олень 50х25х75 см, IP65, понижающий трансформатор в комплекте NEON-NIGHT</t>
  </si>
  <si>
    <t>Надувные фигуры 3D</t>
  </si>
  <si>
    <t>Каркасные фигуры</t>
  </si>
  <si>
    <t>501-371</t>
  </si>
  <si>
    <t>4601004336391</t>
  </si>
  <si>
    <t>Светодиодная фигура Олененок 107см, цвет свечения теплый белый, питание от трансформатора, IP44</t>
  </si>
  <si>
    <t>501-372</t>
  </si>
  <si>
    <t>4601004336346</t>
  </si>
  <si>
    <t>Светодиодная фигура Олениха 155см, цвет свечения теплый белый, питание от трансформатора, IP44</t>
  </si>
  <si>
    <t>501-373</t>
  </si>
  <si>
    <t>4601004336384</t>
  </si>
  <si>
    <t>Светодиодная фигура Олень 180см, цвет свечения теплый белый, питание от трансформатора, IP44</t>
  </si>
  <si>
    <t>501-375</t>
  </si>
  <si>
    <t>4601004336377</t>
  </si>
  <si>
    <t>Светодиодная фигура бегущий Олень 88см, цвет свечения теплый белый, питание от трансформатора, IP44</t>
  </si>
  <si>
    <t>PROFESSIONAL - Профессиональные проекты</t>
  </si>
  <si>
    <t>Дюралайт</t>
  </si>
  <si>
    <r>
      <rPr>
        <b/>
        <sz val="12"/>
        <rFont val="Calibri"/>
        <family val="2"/>
        <charset val="204"/>
      </rPr>
      <t xml:space="preserve">Дюралайт с постоянным свечением </t>
    </r>
    <r>
      <rPr>
        <b/>
        <sz val="12"/>
        <color rgb="FFFF0000"/>
        <rFont val="Calibri"/>
        <family val="2"/>
        <charset val="204"/>
      </rPr>
      <t>(NEW. Партия KX-055 2022г. Арт.121-121;-123;-124;-125;-126 - Морозостойкие добавки,Залитый модуль резки, Модуль резки - 1м, 36 LED/m, Диаметр - 13 мм, Гарантия - 24 месяца)</t>
    </r>
  </si>
  <si>
    <t>121-125-3</t>
  </si>
  <si>
    <t>4601004089358</t>
  </si>
  <si>
    <r>
      <rPr>
        <sz val="10"/>
        <rFont val="Calibri"/>
        <family val="2"/>
        <charset val="204"/>
      </rPr>
      <t xml:space="preserve">Дюралайт LED, постоянное свечение (2W) - белый, 24 LED/м Ø10мм, бухта 100м - </t>
    </r>
    <r>
      <rPr>
        <sz val="10"/>
        <color rgb="FFFF0000"/>
        <rFont val="Calibri"/>
        <family val="2"/>
        <charset val="204"/>
      </rPr>
      <t>Модуль резки - 2м, Шнур питания в комплекте, тонкий для маленьких фигур</t>
    </r>
  </si>
  <si>
    <r>
      <rPr>
        <sz val="10"/>
        <rFont val="Calibri"/>
        <family val="2"/>
        <charset val="204"/>
      </rPr>
      <t xml:space="preserve">Дюралайт LED, постоянное свечение (2W) - белый, 36 LED/м, бухта 100м, Neon-Night </t>
    </r>
    <r>
      <rPr>
        <sz val="10"/>
        <color rgb="FFFF0000"/>
        <rFont val="Calibri"/>
        <family val="2"/>
        <charset val="204"/>
      </rPr>
      <t>- Диаметр 13мм, Модуль резки-1м, Шнур питания в комплекте, Морозостойкие добавки, Залитый модуль резки, диоды лучшего качества.</t>
    </r>
  </si>
  <si>
    <t>24 месяца</t>
  </si>
  <si>
    <r>
      <rPr>
        <sz val="10"/>
        <rFont val="Calibri"/>
        <family val="2"/>
        <charset val="204"/>
      </rPr>
      <t>Дюралайт LED, постоянное свечение (2W) - белый Эконом 24 LED/м, бухта 100м -</t>
    </r>
    <r>
      <rPr>
        <sz val="10"/>
        <color rgb="FFFF0000"/>
        <rFont val="Calibri"/>
        <family val="2"/>
        <charset val="204"/>
      </rPr>
      <t xml:space="preserve"> Диаметр 13мм, Модуль резки-2м, Шнур питания в комплекте.</t>
    </r>
  </si>
  <si>
    <t>121-125-6</t>
  </si>
  <si>
    <t>4601004082304</t>
  </si>
  <si>
    <r>
      <rPr>
        <sz val="10"/>
        <rFont val="Calibri"/>
        <family val="2"/>
        <charset val="204"/>
      </rPr>
      <t xml:space="preserve">Дюралайт LED, постоянное свечение (2W) - белый, 30 LED/м, бухта 100м </t>
    </r>
    <r>
      <rPr>
        <sz val="10"/>
        <color rgb="FFFF0000"/>
        <rFont val="Calibri"/>
        <family val="2"/>
        <charset val="204"/>
      </rPr>
      <t>- Диаметр 13мм, Модуль резки-2м(2022) и 1м(2023), Шнур питания в комплекте.</t>
    </r>
  </si>
  <si>
    <r>
      <rPr>
        <sz val="10"/>
        <rFont val="Calibri"/>
        <family val="2"/>
        <charset val="204"/>
      </rPr>
      <t xml:space="preserve">Дюралайт LED, постоянное свечение (2W) - желтый, 30 LED/м, бухта 100м </t>
    </r>
    <r>
      <rPr>
        <sz val="10"/>
        <color rgb="FFFF0000"/>
        <rFont val="Calibri"/>
        <family val="2"/>
        <charset val="204"/>
      </rPr>
      <t>- Диаметр 13мм, Модуль резки-1м(2023), Шнур питания в комплекте.</t>
    </r>
  </si>
  <si>
    <r>
      <rPr>
        <sz val="10"/>
        <rFont val="Calibri"/>
        <family val="2"/>
        <charset val="204"/>
      </rPr>
      <t xml:space="preserve">Дюралайт LED, постоянное свечение (2W) - желтый, 36 LED/м, бухта 100м Neon-Night </t>
    </r>
    <r>
      <rPr>
        <sz val="10"/>
        <color rgb="FFFF0000"/>
        <rFont val="Calibri"/>
        <family val="2"/>
        <charset val="204"/>
      </rPr>
      <t>- Диаметр 13мм, Модуль резки-1м, Шнур питания в комплекте, Морозостойкие добавки, Залитый модуль резки, диоды лучшего качества.</t>
    </r>
  </si>
  <si>
    <r>
      <rPr>
        <sz val="10"/>
        <rFont val="Calibri"/>
        <family val="2"/>
        <charset val="204"/>
      </rPr>
      <t xml:space="preserve">Дюралайт LED, постоянное свечение (2W) - желтый Эконом 24 LED/м,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комплекте.</t>
    </r>
  </si>
  <si>
    <t>121-124-6</t>
  </si>
  <si>
    <t>4601004082366</t>
  </si>
  <si>
    <r>
      <rPr>
        <sz val="10"/>
        <rFont val="Calibri"/>
        <family val="2"/>
        <charset val="204"/>
      </rPr>
      <t xml:space="preserve">Дюралайт LED, постоянное свечение (2W) - зеленый, 30 LED/м, бухта 100м </t>
    </r>
    <r>
      <rPr>
        <sz val="10"/>
        <color rgb="FFFF0000"/>
        <rFont val="Calibri"/>
        <family val="2"/>
        <charset val="204"/>
      </rPr>
      <t>- Диаметр 13мм, Модуль резки-2м(2022) и 1м(2023), Шнур питания в комплекте.</t>
    </r>
  </si>
  <si>
    <t>121-124</t>
  </si>
  <si>
    <t>4601004282605</t>
  </si>
  <si>
    <r>
      <rPr>
        <sz val="10"/>
        <rFont val="Calibri"/>
        <family val="2"/>
        <charset val="204"/>
      </rPr>
      <t xml:space="preserve">Дюралайт LED, постоянное свечение (2W) - зеленый, 36 LED/м, бухта 100м, Neon-Night </t>
    </r>
    <r>
      <rPr>
        <sz val="10"/>
        <color rgb="FFFF0000"/>
        <rFont val="Calibri"/>
        <family val="2"/>
        <charset val="204"/>
      </rPr>
      <t>- Диаметр 13мм, Модуль резки-1м, Шнур питания в комплекте, Морозостойкие добавки, Залитый модуль резки, диоды лучшего качества.</t>
    </r>
  </si>
  <si>
    <r>
      <rPr>
        <sz val="10"/>
        <rFont val="Calibri"/>
        <family val="2"/>
        <charset val="204"/>
      </rPr>
      <t xml:space="preserve">Дюралайт LED, постоянное свечение (2W) - зеленый Эконом 24 LED/м,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комплекте.</t>
    </r>
  </si>
  <si>
    <r>
      <rPr>
        <sz val="10"/>
        <rFont val="Calibri"/>
        <family val="2"/>
        <charset val="204"/>
      </rPr>
      <t>Дюралайт LED, постоянное свечение (2W) - красный, 30 LED/м, бухта 100м</t>
    </r>
    <r>
      <rPr>
        <sz val="10"/>
        <color rgb="FFFF0000"/>
        <rFont val="Calibri"/>
        <family val="2"/>
        <charset val="204"/>
      </rPr>
      <t xml:space="preserve"> - Диаметр 13мм, Модуль резки-2м(2022) и 1м(2023), Шнур питания в комплекте.</t>
    </r>
  </si>
  <si>
    <r>
      <rPr>
        <sz val="10"/>
        <rFont val="Calibri"/>
        <family val="2"/>
        <charset val="204"/>
      </rPr>
      <t xml:space="preserve">Дюралайт LED, постоянное свечение (2W) - красный, 36 LED/м, бухта 100м Neon-Night </t>
    </r>
    <r>
      <rPr>
        <sz val="10"/>
        <color rgb="FFFF0000"/>
        <rFont val="Calibri"/>
        <family val="2"/>
        <charset val="204"/>
      </rPr>
      <t>- Диаметр 13мм, Модуль резки-1м, Шнур питания в комплекте, диоды лучшего качества.</t>
    </r>
  </si>
  <si>
    <r>
      <rPr>
        <sz val="10"/>
        <rFont val="Calibri"/>
        <family val="2"/>
        <charset val="204"/>
      </rPr>
      <t xml:space="preserve">Дюралайт LED, постоянное свечение (2W) - красный Эконом 24 LED/м,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комплекте.</t>
    </r>
  </si>
  <si>
    <r>
      <rPr>
        <sz val="10"/>
        <rFont val="Calibri"/>
        <family val="2"/>
        <charset val="204"/>
      </rPr>
      <t xml:space="preserve">Дюралайт LED, постоянное свечение (2W) - синий, 24 LED/м, Ø10мм, бухта 100м </t>
    </r>
    <r>
      <rPr>
        <sz val="10"/>
        <color rgb="FFFF0000"/>
        <rFont val="Calibri"/>
        <family val="2"/>
        <charset val="204"/>
      </rPr>
      <t>- Модуль резки - 2м, Шнур питания в комплекте, тонкий для маленьких фигур.</t>
    </r>
  </si>
  <si>
    <r>
      <rPr>
        <sz val="10"/>
        <rFont val="Calibri"/>
        <family val="2"/>
        <charset val="204"/>
      </rPr>
      <t xml:space="preserve">Дюралайт LED, постоянное свечение (2W) - синий, 30 LED/м, бухта 100м </t>
    </r>
    <r>
      <rPr>
        <sz val="10"/>
        <color rgb="FFFF0000"/>
        <rFont val="Calibri"/>
        <family val="2"/>
        <charset val="204"/>
      </rPr>
      <t>- Диаметр 13мм, Модуль резки-2м(2022) и 1м(2023), Шнур питания в комплекте.</t>
    </r>
  </si>
  <si>
    <r>
      <rPr>
        <sz val="10"/>
        <rFont val="Calibri"/>
        <family val="2"/>
        <charset val="204"/>
      </rPr>
      <t>Дюралайт LED, постоянное свечение (2W) - синий, 36 LED/м, бухта 100м</t>
    </r>
    <r>
      <rPr>
        <sz val="10"/>
        <color rgb="FFFF0000"/>
        <rFont val="Calibri"/>
        <family val="2"/>
        <charset val="204"/>
      </rPr>
      <t xml:space="preserve"> - Диаметр 13мм, Модуль резки-1м, Шнур питания в комплекте, Морозостойкие добавки, Залитый модуль резки, диоды лучшего качества.</t>
    </r>
  </si>
  <si>
    <r>
      <rPr>
        <sz val="10"/>
        <rFont val="Calibri"/>
        <family val="2"/>
        <charset val="204"/>
      </rPr>
      <t xml:space="preserve">Дюралайт LED, постоянное свечение (2W) - синий Эконом 24 LED/м 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комплекте.</t>
    </r>
  </si>
  <si>
    <r>
      <rPr>
        <sz val="10"/>
        <rFont val="Calibri"/>
        <family val="2"/>
        <charset val="204"/>
      </rPr>
      <t xml:space="preserve">Дюралайт LED, постоянное свечение (2W) - ТЕПЛЫЙ БЕЛЫЙ, 24 LED/м Ø10мм, бухта 100м </t>
    </r>
    <r>
      <rPr>
        <sz val="10"/>
        <color rgb="FFFF0000"/>
        <rFont val="Calibri"/>
        <family val="2"/>
        <charset val="204"/>
      </rPr>
      <t>- Модуль резки - 2м, Шнур питания в комплекте, тонкий для маленьких фигур.</t>
    </r>
  </si>
  <si>
    <t>121-126-6</t>
  </si>
  <si>
    <t>4601004082373</t>
  </si>
  <si>
    <r>
      <rPr>
        <sz val="10"/>
        <rFont val="Calibri"/>
        <family val="2"/>
        <charset val="204"/>
      </rPr>
      <t xml:space="preserve">Дюралайт LED, постоянное свечение (2W) - ТЕПЛЫЙ БЕЛЫЙ, 30 LED/м, бухта 100м </t>
    </r>
    <r>
      <rPr>
        <sz val="10"/>
        <color rgb="FFFF0000"/>
        <rFont val="Calibri"/>
        <family val="2"/>
        <charset val="204"/>
      </rPr>
      <t>- Диаметр 13мм, Модуль резки-2м(2022) и 1м(2023), Шнур питания в комплекте.</t>
    </r>
  </si>
  <si>
    <t>121-126</t>
  </si>
  <si>
    <t>4601004082311</t>
  </si>
  <si>
    <r>
      <rPr>
        <sz val="10"/>
        <rFont val="Calibri"/>
        <family val="2"/>
        <charset val="204"/>
      </rPr>
      <t xml:space="preserve">Дюралайт LED, постоянное свечение (2W) - ТЕПЛЫЙ БЕЛЫЙ, 36 LED/м, бухта 100м </t>
    </r>
    <r>
      <rPr>
        <sz val="10"/>
        <color rgb="FFFF0000"/>
        <rFont val="Calibri"/>
        <family val="2"/>
        <charset val="204"/>
      </rPr>
      <t>- Диаметр 13мм, Модуль резки-1м, Шнур питания в комплекте, Морозостойкие добавки, Залитый модуль резки, диоды лучшего качества.</t>
    </r>
  </si>
  <si>
    <t>121-126-4</t>
  </si>
  <si>
    <t>4601004060562</t>
  </si>
  <si>
    <r>
      <rPr>
        <sz val="10"/>
        <rFont val="Calibri"/>
        <family val="2"/>
        <charset val="204"/>
      </rPr>
      <t xml:space="preserve">Дюралайт LED, постоянное свечение (2W) - ТЕПЛЫЙ БЕЛЫЙ Эконом 24 LED/м,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комплекте.</t>
    </r>
  </si>
  <si>
    <r>
      <rPr>
        <sz val="10"/>
        <rFont val="Calibri"/>
        <family val="2"/>
        <charset val="204"/>
      </rPr>
      <t xml:space="preserve">Дюралайт LED, постоянное свечение (2W) – белый, 36 LED/м, бухта 100 м NEON-NIGHT </t>
    </r>
    <r>
      <rPr>
        <sz val="10"/>
        <color rgb="FFFF0000"/>
        <rFont val="Calibri"/>
        <family val="2"/>
        <charset val="204"/>
      </rPr>
      <t>- 24В, Диаметр 13мм, Модуль резки-0,445м(2022) и 0,5м(2023), Шнур питания в комплекте, Залитый модуль резки, возможность подключить 50 м на один трансформатор (не менее 150Вт) не в комплекте .</t>
    </r>
  </si>
  <si>
    <t>121-135</t>
  </si>
  <si>
    <t>4601004236677</t>
  </si>
  <si>
    <r>
      <rPr>
        <sz val="10"/>
        <rFont val="Calibri"/>
        <family val="2"/>
        <charset val="204"/>
      </rPr>
      <t xml:space="preserve">Дюралайт LED, постоянное свечение (2W) – белый, 36 LED/м, бухта 100 м NEON-NIGHT </t>
    </r>
    <r>
      <rPr>
        <sz val="10"/>
        <color rgb="FFFF0000"/>
        <rFont val="Calibri"/>
        <family val="2"/>
        <charset val="204"/>
      </rPr>
      <t>- Диаметр 13мм, Модуль резки-1м, Шнур питания в комплекте.</t>
    </r>
  </si>
  <si>
    <r>
      <rPr>
        <sz val="10"/>
        <rFont val="Calibri"/>
        <family val="2"/>
        <charset val="204"/>
      </rPr>
      <t xml:space="preserve">Дюралайт LED, постоянное свечение (2W) – теплый белый, 36 LED/м, бухта 100 м </t>
    </r>
    <r>
      <rPr>
        <sz val="10"/>
        <color rgb="FFFF0000"/>
        <rFont val="Calibri"/>
        <family val="2"/>
        <charset val="204"/>
      </rPr>
      <t>- 24В, Диаметр 13мм, Модуль резки-0,445м, Шнур питания не в комплекте, возможность подключить 20 м на один трансформатор не в комплекте .</t>
    </r>
  </si>
  <si>
    <r>
      <rPr>
        <sz val="10"/>
        <rFont val="Calibri"/>
        <family val="2"/>
        <charset val="204"/>
      </rPr>
      <t>Дюралайт LED, постоянное свечение (2W) – теплый белый, 36 LED/м, бухта 100 м -</t>
    </r>
    <r>
      <rPr>
        <sz val="10"/>
        <color rgb="FFFF0000"/>
        <rFont val="Calibri"/>
        <family val="2"/>
        <charset val="204"/>
      </rPr>
      <t xml:space="preserve"> Диаметр 13мм, Модуль резки-1м, Шнур питания в комплекте.</t>
    </r>
  </si>
  <si>
    <t>https://catalog.onliner.by/xmaslights/neonnight/neon121136</t>
  </si>
  <si>
    <r>
      <rPr>
        <b/>
        <sz val="12"/>
        <rFont val="Calibri"/>
        <family val="2"/>
        <charset val="204"/>
      </rPr>
      <t xml:space="preserve">Дюралайт с динамикой </t>
    </r>
    <r>
      <rPr>
        <b/>
        <sz val="12"/>
        <color rgb="FFFF0000"/>
        <rFont val="Calibri"/>
        <family val="2"/>
        <charset val="204"/>
      </rPr>
      <t>(NEW. Партия KX-055 2022г. Арт.121-324;-325;-329 - Морозостойкие добавки,Залитый модуль резки, Модуль резки - 1м, 36 LED/m, Диаметр - 13 мм, Гарантия - 24 месяца)</t>
    </r>
  </si>
  <si>
    <r>
      <rPr>
        <sz val="10"/>
        <rFont val="Calibri"/>
        <family val="2"/>
        <charset val="204"/>
      </rPr>
      <t xml:space="preserve">Дюралайт LED, свечение с динамикой (3W) - белый, 36 LED/м, бухта 100м </t>
    </r>
    <r>
      <rPr>
        <sz val="10"/>
        <color rgb="FFFF0000"/>
        <rFont val="Calibri"/>
        <family val="2"/>
        <charset val="204"/>
      </rPr>
      <t>- Диаметр 13мм, Модуль резки-4м(до 2023г) и 1м(с 2023г), Шнур питания в комплекте, Морозостойкие добавки, Залитый модуль резки, Контроллер в компекте, диоды лучшего качества.</t>
    </r>
  </si>
  <si>
    <t>https://catalog.onliner.by/ledstrip/neonnight/nn121325</t>
  </si>
  <si>
    <r>
      <rPr>
        <sz val="10"/>
        <rFont val="Calibri"/>
        <family val="2"/>
        <charset val="204"/>
      </rPr>
      <t xml:space="preserve">Дюралайт LED, свечение с динамикой (3W) - белый Эконом 24 LED/м, бухта 100м </t>
    </r>
    <r>
      <rPr>
        <sz val="10"/>
        <color rgb="FFFF0000"/>
        <rFont val="Calibri"/>
        <family val="2"/>
        <charset val="204"/>
      </rPr>
      <t>- Диаметр 13мм, Модуль резки-4м, Шнур питания в комплекте.</t>
    </r>
  </si>
  <si>
    <t>https://catalog.onliner.by/ledstrip/neonnight/1213254</t>
  </si>
  <si>
    <r>
      <rPr>
        <sz val="10"/>
        <rFont val="Calibri"/>
        <family val="2"/>
        <charset val="204"/>
      </rPr>
      <t>Дюралайт LED, свечение с динамикой (3W) - зеленый, 36 LED/м, бухта 100м</t>
    </r>
    <r>
      <rPr>
        <sz val="10"/>
        <color rgb="FFFF0000"/>
        <rFont val="Calibri"/>
        <family val="2"/>
        <charset val="204"/>
      </rPr>
      <t xml:space="preserve"> - Диаметр 13мм, Модуль резки-4м(до 2023г) и 1м(с 2023г), Шнур питания в комплекте, Морозостойкие добавки, Залитый модуль резки, Контроллер в компекте, диоды лучшего качества.</t>
    </r>
  </si>
  <si>
    <t>https://www.youtube.com/watch?v=nrEFnkGSTsA</t>
  </si>
  <si>
    <t>https://catalog.onliner.by/ledstrip/neonnight/nn121324</t>
  </si>
  <si>
    <r>
      <rPr>
        <sz val="10"/>
        <rFont val="Calibri"/>
        <family val="2"/>
        <charset val="204"/>
      </rPr>
      <t xml:space="preserve">Дюралайт LED, свечение с динамикой (3W) - красный, 36 LED/м, бухта 100м </t>
    </r>
    <r>
      <rPr>
        <sz val="10"/>
        <color rgb="FFFF0000"/>
        <rFont val="Calibri"/>
        <family val="2"/>
        <charset val="204"/>
      </rPr>
      <t>- Диаметр 13мм, Модуль резки-4м, Шнур питания в комплекте, Контроллер в компекте, диоды лучшего качества.</t>
    </r>
  </si>
  <si>
    <t>https://catalog.onliner.by/ledstrip/neonnight/nn121322</t>
  </si>
  <si>
    <r>
      <rPr>
        <sz val="10"/>
        <rFont val="Calibri"/>
        <family val="2"/>
        <charset val="204"/>
      </rPr>
      <t xml:space="preserve">Дюралайт LED, свечение с динамикой (3W) - мульти (RYGB), 30 LED/м,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комплекте, Контроллер в компекте, диоды лучшего качества.</t>
    </r>
  </si>
  <si>
    <t>https://catalog.onliner.by/ledstrip/neonnight/nn1213296</t>
  </si>
  <si>
    <r>
      <rPr>
        <sz val="10"/>
        <rFont val="Calibri"/>
        <family val="2"/>
        <charset val="204"/>
      </rPr>
      <t xml:space="preserve">Дюралайт LED, свечение с динамикой (3W) - мульти (RYGB), 36 LED/м, бухта 100м </t>
    </r>
    <r>
      <rPr>
        <sz val="10"/>
        <color rgb="FFFF0000"/>
        <rFont val="Calibri"/>
        <family val="2"/>
        <charset val="204"/>
      </rPr>
      <t xml:space="preserve"> - Диаметр 13мм, Модуль резки-4м(до 2023г) и 1м(с 2023г), Шнур питания в комплекте, Морозостойкие добавки, Залитый модуль резки, Контроллер в компекте, диоды лучшего качества.</t>
    </r>
  </si>
  <si>
    <t>https://www.youtube.com/watch?v=LovaCaDhysU</t>
  </si>
  <si>
    <t>https://catalog.onliner.by/ledstrip/neonnight/nn121329</t>
  </si>
  <si>
    <r>
      <rPr>
        <sz val="10"/>
        <rFont val="Calibri"/>
        <family val="2"/>
        <charset val="204"/>
      </rPr>
      <t xml:space="preserve">Дюралайт LED, свечение с динамикой (3W) - мульти (RYGB), 24 LED/м, бухта 100м </t>
    </r>
    <r>
      <rPr>
        <sz val="10"/>
        <color rgb="FFFF0000"/>
        <rFont val="Calibri"/>
        <family val="2"/>
        <charset val="204"/>
      </rPr>
      <t>- Диаметр 13мм, Модуль резки-4м, Шнур питания в комплекте.</t>
    </r>
  </si>
  <si>
    <t>https://catalog.onliner.by/ledstrip/neonnight/1213294</t>
  </si>
  <si>
    <r>
      <rPr>
        <sz val="10"/>
        <rFont val="Calibri"/>
        <family val="2"/>
        <charset val="204"/>
      </rPr>
      <t xml:space="preserve">Дюралайт LED, свечение с динамикой (3W) - синий, бухта 100м </t>
    </r>
    <r>
      <rPr>
        <sz val="10"/>
        <color rgb="FFFF0000"/>
        <rFont val="Calibri"/>
        <family val="2"/>
        <charset val="204"/>
      </rPr>
      <t>- Диаметр 13мм, Модуль резки-4м(до 2023г) и 1м(с 2023г), Шнур питания в комплекте, Морозостойкие добавки, Залитый модуль резки, Контроллер в компекте, диоды лучшего качества.</t>
    </r>
  </si>
  <si>
    <t>https://www.youtube.com/watch?v=T_oQGapnQP4</t>
  </si>
  <si>
    <t>https://catalog.onliner.by/ledstrip/neonnight/nn121323</t>
  </si>
  <si>
    <r>
      <rPr>
        <sz val="10"/>
        <rFont val="Calibri"/>
        <family val="2"/>
        <charset val="204"/>
      </rPr>
      <t xml:space="preserve">Дюралайт LED, свечение с динамикой (3W) - синий, 24 LED/м, бухта 100м </t>
    </r>
    <r>
      <rPr>
        <sz val="10"/>
        <color rgb="FFFF0000"/>
        <rFont val="Calibri"/>
        <family val="2"/>
        <charset val="204"/>
      </rPr>
      <t>- Диаметр 13мм, Модуль резки-4м, Шнур питания в комплекте.</t>
    </r>
  </si>
  <si>
    <t>https://catalog.onliner.by/ledstrip/neonnight/1213234</t>
  </si>
  <si>
    <r>
      <rPr>
        <sz val="10"/>
        <rFont val="Calibri"/>
        <family val="2"/>
        <charset val="204"/>
      </rPr>
      <t xml:space="preserve">Дюралайт LED, свечение с динамикой (3W) - ТЕПЛЫЙ БЕЛЫЙ, 24 LED/м, бухта 100м </t>
    </r>
    <r>
      <rPr>
        <sz val="10"/>
        <color rgb="FFFF0000"/>
        <rFont val="Calibri"/>
        <family val="2"/>
        <charset val="204"/>
      </rPr>
      <t>- Диаметр 13мм, Модуль резки-4м.</t>
    </r>
  </si>
  <si>
    <t>https://catalog.onliner.by/ledstrip/neonnight/1213264</t>
  </si>
  <si>
    <r>
      <rPr>
        <b/>
        <sz val="12"/>
        <rFont val="Calibri"/>
        <family val="2"/>
        <charset val="204"/>
      </rPr>
      <t xml:space="preserve">Дюралайт мерцающий </t>
    </r>
    <r>
      <rPr>
        <b/>
        <sz val="12"/>
        <color rgb="FFFF0000"/>
        <rFont val="Calibri"/>
        <family val="2"/>
        <charset val="204"/>
      </rPr>
      <t>(NEW. Партия KX-055 2022г. Арт.121-253 - Морозостойкие добавки,Залитый модуль резки, Модуль резки - 1м, 36 LED/m, Диаметр - 13 мм, Гарантия - 24 месяца)</t>
    </r>
  </si>
  <si>
    <r>
      <rPr>
        <sz val="10"/>
        <rFont val="Calibri"/>
        <family val="2"/>
        <charset val="204"/>
      </rPr>
      <t xml:space="preserve">Дюралайт LED, эффект мерцания (2W) - белый, 36 LED/м, бухта 100м </t>
    </r>
    <r>
      <rPr>
        <sz val="10"/>
        <color rgb="FFFF0000"/>
        <rFont val="Calibri"/>
        <family val="2"/>
        <charset val="204"/>
      </rPr>
      <t>- Диаметр 13мм, Модуль резки-2м(до 2023г) и 1м(с 2023г), Шнур питания в комплекте, Морозостойкие добавки, Залитый модуль резки, диоды лучшего качества.</t>
    </r>
  </si>
  <si>
    <t>https://www.youtube.com/watch?v=M8mb4n11bw0</t>
  </si>
  <si>
    <t>https://catalog.onliner.by/ledstrip/neonnight/nn121255</t>
  </si>
  <si>
    <r>
      <rPr>
        <sz val="10"/>
        <rFont val="Calibri"/>
        <family val="2"/>
        <charset val="204"/>
      </rPr>
      <t xml:space="preserve">Дюралайт LED, эффект мерцания (2W) - белый Эконом 24 LED/м 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комплекте.</t>
    </r>
  </si>
  <si>
    <t>https://catalog.onliner.by/ledstrip/neonnight/1212554</t>
  </si>
  <si>
    <t>121-253</t>
  </si>
  <si>
    <t>4601004082434</t>
  </si>
  <si>
    <r>
      <rPr>
        <sz val="10"/>
        <rFont val="Calibri"/>
        <family val="2"/>
        <charset val="204"/>
      </rPr>
      <t xml:space="preserve">Дюралайт LED, эффект мерцания (2W) - синий, 36 LED/м, бухта 100м </t>
    </r>
    <r>
      <rPr>
        <sz val="10"/>
        <color rgb="FFFF0000"/>
        <rFont val="Calibri"/>
        <family val="2"/>
        <charset val="204"/>
      </rPr>
      <t>- Диаметр 13мм, Модуль резки-2м(до 2023г) и 1м(с 2023г), Шнур питания в комплекте, Морозостойкие добавки, Залитый модуль резки, диоды лучшего качества.</t>
    </r>
  </si>
  <si>
    <t>https://www.youtube.com/watch?v=TT19b88ivTQ</t>
  </si>
  <si>
    <t>https://catalog.onliner.by/ledstrip/neonnight/nn121253</t>
  </si>
  <si>
    <r>
      <rPr>
        <sz val="10"/>
        <rFont val="Calibri"/>
        <family val="2"/>
        <charset val="204"/>
      </rPr>
      <t xml:space="preserve">Дюралайт LED, эффект мерцания (2W) - ТЕПЛЫЙ БЕЛЫЙ, 36 LED/м, бухта 100м </t>
    </r>
    <r>
      <rPr>
        <sz val="10"/>
        <color rgb="FFFF0000"/>
        <rFont val="Calibri"/>
        <family val="2"/>
        <charset val="204"/>
      </rPr>
      <t>- Диаметр 13мм, Модуль резки-2м, Шнур питания в комплекте, диоды лучшего качества.</t>
    </r>
  </si>
  <si>
    <t>https://catalog.onliner.by/ledstrip/neonnight/121256</t>
  </si>
  <si>
    <t>Аксессуары для дюралайта</t>
  </si>
  <si>
    <t>L - коннектор для двухжильного дюралайта ∅13мм (цена за 1 шт.)</t>
  </si>
  <si>
    <t>https://catalog.onliner.by/ledpowersupply/neonnight/124311</t>
  </si>
  <si>
    <t>L - коннектор для трехжильного дюралайта ∅13мм (цена за 1 шт.)</t>
  </si>
  <si>
    <t>https://catalog.onliner.by/ledpowersupply/neonnight/124321</t>
  </si>
  <si>
    <t>https://catalog.onliner.by/ledpowersupply/neonnight/n124221</t>
  </si>
  <si>
    <t>Заглушка для дюралайта ∅10 мм (цена за 1 шт.)</t>
  </si>
  <si>
    <t>Заглушка для дюралайта ∅13 мм (цена за 1 шт.)</t>
  </si>
  <si>
    <t>https://catalog.onliner.by/xmaslights/neonnight/124113</t>
  </si>
  <si>
    <t>123-013</t>
  </si>
  <si>
    <t>4601004033184</t>
  </si>
  <si>
    <t>Контроллер для двухжильного светодиодного дюралайта ∅13 мм, до 100 м</t>
  </si>
  <si>
    <t>https://catalog.onliner.by/ledcontrol/neonnight/neon123013</t>
  </si>
  <si>
    <t>https://catalog.onliner.by/ledcontrol/neonnight/neon123034</t>
  </si>
  <si>
    <t>https://catalog.onliner.by/ledcontrol/neonnight/neon123032</t>
  </si>
  <si>
    <t>Прозрачный П-образный короб, 1м, пластик (цена за 1 шт.)</t>
  </si>
  <si>
    <t>Гибкий неон</t>
  </si>
  <si>
    <t>Гибкий неон 12х26 мм</t>
  </si>
  <si>
    <t>131-015</t>
  </si>
  <si>
    <t>4610003606695</t>
  </si>
  <si>
    <t>Гибкий неон DIP 12x26мм - белый, бухта 50 м</t>
  </si>
  <si>
    <t>131-013</t>
  </si>
  <si>
    <t>2000031062525</t>
  </si>
  <si>
    <t>Гибкий Неон DIP 12x26мм - синий, бухта 50м</t>
  </si>
  <si>
    <t>131-023</t>
  </si>
  <si>
    <t>2000031066622</t>
  </si>
  <si>
    <t>Гибкий Неон DIP 12x26мм - синий, оболочка синяя, бухта 50м</t>
  </si>
  <si>
    <t>131-016</t>
  </si>
  <si>
    <t>2000031062556</t>
  </si>
  <si>
    <t>Гибкий Неон DIP 12x26мм - ТЕПЛЫЙ БЕЛЫЙ, бухта 50м</t>
  </si>
  <si>
    <t>Гибкий неон 15х26 мм</t>
  </si>
  <si>
    <t>Гибкий неон 16х16 мм</t>
  </si>
  <si>
    <t>131-081</t>
  </si>
  <si>
    <t>4601004162013</t>
  </si>
  <si>
    <t>Гибкий неон LED SMD, форма – D, 16х16 мм, желтый, 144 LED/м, бухта 50 м</t>
  </si>
  <si>
    <t>131-082</t>
  </si>
  <si>
    <t>4601004162020</t>
  </si>
  <si>
    <t>Гибкий неон LED SMD, форма – D, 16х16 мм, красный, 144 LED/м, бухта 50 м</t>
  </si>
  <si>
    <t>131-083</t>
  </si>
  <si>
    <t>4601004162037</t>
  </si>
  <si>
    <t>Гибкий неон LED SMD, форма – D, 16х16 мм, синий, 144 LED/м, бухта 50 м</t>
  </si>
  <si>
    <t>Гибкий неон 7х12 мм</t>
  </si>
  <si>
    <t>Гибкий неон 8х16 мм</t>
  </si>
  <si>
    <t>131-125</t>
  </si>
  <si>
    <t>4601004295216</t>
  </si>
  <si>
    <t>Гибкий неон SMD 8х16мм, 120 LED/м БЕЛЫЙ, односторонний, 24В, бухта 50м NEON-NIGHT</t>
  </si>
  <si>
    <t>https://catalog.onliner.by/ledstrip/neonnight/smd816131115</t>
  </si>
  <si>
    <t>https://catalog.onliner.by/ledstrip/neonnight/smd816131116</t>
  </si>
  <si>
    <t>131-092</t>
  </si>
  <si>
    <t>4601004161832</t>
  </si>
  <si>
    <t>Гибкий неон LED SMD 8х16 мм, двухсторонний, красный, 120 LED/м, бухта 100 м</t>
  </si>
  <si>
    <t>131-042</t>
  </si>
  <si>
    <t>Гибкий неон 8х16мм односторонний 120 LED/м КРАСНЫЙ 230В бухта 100м (с комплектом подключения)</t>
  </si>
  <si>
    <t>131-044</t>
  </si>
  <si>
    <t>Гибкий неон 8х16мм односторонний 120 LED/м ЗЕЛЕНЫЙ 230В бухта 100м (с комплектом подключения)</t>
  </si>
  <si>
    <t>Гибкий неон диаметр Ø16 мм</t>
  </si>
  <si>
    <t>Гибкий неон круглый 360 градусов диамет Ø19 мм</t>
  </si>
  <si>
    <t>131-032</t>
  </si>
  <si>
    <t>2000031066677</t>
  </si>
  <si>
    <t>Гибкий Неон LED 360 (круглый) - красный, бухта 50м</t>
  </si>
  <si>
    <t>Аксессуары для гибкого неона</t>
  </si>
  <si>
    <t>T- коннектор для Гибкого Неона 12х26мм (без иглы) (цена за 1 шт.)</t>
  </si>
  <si>
    <t>Заглушка для гибкого неона 12х12 мм (цена за 1 шт.)</t>
  </si>
  <si>
    <t>Заглушка для гибкого неона 15х26 мм (цена за 1 шт.)</t>
  </si>
  <si>
    <t>Заглушка для гибкого неона NEON-NIGHT цилиндрическая (цена за 1 шт.)</t>
  </si>
  <si>
    <t>Заглушка для гибкого неона Ø19 мм NEON-NIGHT, цилиндрическая (цена за 1 шт.)</t>
  </si>
  <si>
    <t>Заглушка для гибкого неона 8х16 мм (цена за 1 шт.)</t>
  </si>
  <si>
    <t>Заглушка для гибкого неона формы D 16х16 мм (цена за 1 шт.)</t>
  </si>
  <si>
    <t>134-086</t>
  </si>
  <si>
    <t>4601004161948</t>
  </si>
  <si>
    <t>Клипса пластиковая 5 см для одностороннего гибкого неона 8х16 мм (цена за 1 шт.)</t>
  </si>
  <si>
    <t>134-087</t>
  </si>
  <si>
    <t>4601004161955</t>
  </si>
  <si>
    <t>Клипса пластиковая для гибкого неона формы D 16х16 мм (цена за 1 шт.)</t>
  </si>
  <si>
    <t>Клипса пластиковая для двухстороннего гибкого неона 8х16 мм (цена за 1 шт.)</t>
  </si>
  <si>
    <t>Коннектор для гибкого неона 12х12мм, провод ПВХ, длина 20 см (без игл) (цена за 1 шт.)</t>
  </si>
  <si>
    <t>Коннектор для Гибкого Неона 12х26 внутренний угол (без иглы) (цена за 1 шт.)</t>
  </si>
  <si>
    <t>Коннектор для Гибкого Неона 12х26, внешний угол (без иглы)</t>
  </si>
  <si>
    <t>134-007</t>
  </si>
  <si>
    <t>4601004278301</t>
  </si>
  <si>
    <t>Коннектор для одностороннего гибкого неона 8х16 мм, провод каучук, длина 20 см NEON-NIGHT</t>
  </si>
  <si>
    <t>2/2000</t>
  </si>
  <si>
    <t>133-012</t>
  </si>
  <si>
    <t>4601004014329</t>
  </si>
  <si>
    <t>Контроллер для Гибкого Неона 4W (4-х жильный) RGB</t>
  </si>
  <si>
    <t>134-046</t>
  </si>
  <si>
    <t>4601004086289</t>
  </si>
  <si>
    <t>Профиль алюминиевый для гибкого неона 12х12мм, 1м NEON-NIGHT</t>
  </si>
  <si>
    <t>134-084</t>
  </si>
  <si>
    <t>4601004277687</t>
  </si>
  <si>
    <t>Короб алюминиевый/клипса для Гибкого Неона 8х16мм, длина 5см (цена за 1 шт.)</t>
  </si>
  <si>
    <t>104-421</t>
  </si>
  <si>
    <t>2000030968200</t>
  </si>
  <si>
    <t>Профиль пластиковый для гибкого неона 12х26мм, 1м NEON-NIGHT</t>
  </si>
  <si>
    <t>134-089</t>
  </si>
  <si>
    <t>4601004233348</t>
  </si>
  <si>
    <t>Профиль пластиковый для круглого гибкого неона диаметром 16мм, 1м NEON-NIGHT</t>
  </si>
  <si>
    <t>Профиль пластиковый для гибкого неона 7х12мм, 1м NEON-NIGHT</t>
  </si>
  <si>
    <t>134-081</t>
  </si>
  <si>
    <t>4601004161894</t>
  </si>
  <si>
    <t>Профиль пластиковый для гибкого неона 8х16мм, 1м NEON-NIGHT</t>
  </si>
  <si>
    <t>134-098</t>
  </si>
  <si>
    <t>4601004332287</t>
  </si>
  <si>
    <t>Профиль алюминиевый анодированный для гибкого неона 8х16мм, 2м, коричневый</t>
  </si>
  <si>
    <t>Короб пластиковый/клипса для гибкого неона 15х26мм, длина 5 см (цена за 1 шт.)</t>
  </si>
  <si>
    <t>Разъем-иглы для соединения Гибкого неона 12х12мм на шнур/коннектор (цена за 1 шт.)</t>
  </si>
  <si>
    <t>Разъем-иглы для соединения Гибкого Неона 12х26 на шнур/коннектор (цена за 1 шт.)</t>
  </si>
  <si>
    <t>Разъем-иглы для соединения Гибкого Неона 360 Ø19 мм (цена за 1 шт.)</t>
  </si>
  <si>
    <t>Разъем-иглы для соединения гибкого неона 7х12 на шнур/коннектор (цена за 1 шт.)</t>
  </si>
  <si>
    <t>134-013</t>
  </si>
  <si>
    <t>4601004015272</t>
  </si>
  <si>
    <t>Установочный набор Гибкого Неона 230 В, провод ПВХ</t>
  </si>
  <si>
    <t>134-015</t>
  </si>
  <si>
    <t>4601004086340</t>
  </si>
  <si>
    <t>Установочный набор для гибкого неона 15х26мм, провод ПВХ, 230 В</t>
  </si>
  <si>
    <t>134-010</t>
  </si>
  <si>
    <t>4601004161870</t>
  </si>
  <si>
    <t>Установочный набор для гибкого неона формы D (16х16 мм), провод ПВХ, 230 В</t>
  </si>
  <si>
    <t>134-018</t>
  </si>
  <si>
    <t>4601004161856</t>
  </si>
  <si>
    <t>Установочный набор для двухстороннего гибкого неона 8х16 мм, провод ПВХ, 230 В</t>
  </si>
  <si>
    <t>134-019</t>
  </si>
  <si>
    <t>4601004161863</t>
  </si>
  <si>
    <t>Установочный набор для одностороннего гибкого неона 8х16 мм, провод ПВХ, 230 В</t>
  </si>
  <si>
    <t>Гирлянда Занавес / дождь</t>
  </si>
  <si>
    <t>Original Занавес ПВХ 2х0,8 м</t>
  </si>
  <si>
    <t>https://www.youtube.com/watch?v=waqnSAqigPY</t>
  </si>
  <si>
    <t xml:space="preserve">Original Занавес ПВХ 2х1,5 м </t>
  </si>
  <si>
    <t>https://www.youtube.com/watch?v=7T3WcSG5CAw</t>
  </si>
  <si>
    <t>https://www.youtube.com/watch?v=4SZ9EFQFMN8</t>
  </si>
  <si>
    <t>Гирлянда светодиодная Занавес 2х1,5м 192 LED БЕЛЫЙ прозрачный ПВХ IP65 постоянное свечение 230В блок в комплекте NEON-NIGHT</t>
  </si>
  <si>
    <t>Original Занавес ПВХ 2х3 м</t>
  </si>
  <si>
    <t>Гирлянда светодиодная Занавес 2х3м 448 LED ТЕПЛЫЙ БЕЛЫЙ прозрачный ПВХ IP65 эффект мерцания 230В нужен блок 303-500-1 NEON-NIGHT</t>
  </si>
  <si>
    <t>Гирлянда светодиодная Занавес 2х3м 448 LED БЕЛЫЙ прозрачный ПВХ IP65 постоянное свечение 230В нужен блок 303-500-1 NEON-NIGHT</t>
  </si>
  <si>
    <t>Гирлянда светодиодная Занавес 2х3м 600 LED БЕЛЫЙ белый ПВХ IP65 эффект мерцания 230В нужен блок 303-500-1 NEON-NIGHT</t>
  </si>
  <si>
    <t>https://www.youtube.com/watch?v=81tP9HgABC8</t>
  </si>
  <si>
    <t>https://www.youtube.com/watch?v=VZ-n58ag3os</t>
  </si>
  <si>
    <t>235-156</t>
  </si>
  <si>
    <t>4610003609412</t>
  </si>
  <si>
    <t>Гирлянда светодиодная Занавес 2х3м 600 LED ТЕПЛЫЙ БЕЛЫЙ прозрачный ПВХ IP65 постоянное свечение 230В нужен блок 303-500-1</t>
  </si>
  <si>
    <t>235-146</t>
  </si>
  <si>
    <t>4610003609511</t>
  </si>
  <si>
    <t>Гирлянда светодиодная Занавес 2х3м 600 LED ТЕПЛЫЙ БЕЛЫЙ черный ПВХ IP65 постоянное свечение 230В нужен блок 303-500</t>
  </si>
  <si>
    <t>235-213</t>
  </si>
  <si>
    <t>4610003609214</t>
  </si>
  <si>
    <t>Гирлянда светодиодная Занавес 2х3м 600 LED СИНИЙ белый ПВХ IP65 эффект мерцания 230В нужен блок 303-500-1 NEON-NIGHT</t>
  </si>
  <si>
    <t>https://www.youtube.com/watch?v=yEQ5o6_Nn1s</t>
  </si>
  <si>
    <t xml:space="preserve">Original Занавес ПВХ 2х6 м </t>
  </si>
  <si>
    <t>235-385</t>
  </si>
  <si>
    <t>4601004337947</t>
  </si>
  <si>
    <t>Занавес 2х6м 768 LED БЕЛЫЙ прозрачный ПВХ IP65 эффект мерцания 230В нужен блок 303-500-1</t>
  </si>
  <si>
    <t>https://www.youtube.com/watch?v=LSlA82e8iKc</t>
  </si>
  <si>
    <t>Original Занавес ПВХ 2х9 м</t>
  </si>
  <si>
    <t>235-695</t>
  </si>
  <si>
    <t>4601004337954</t>
  </si>
  <si>
    <t>Занавес 2х9м 1200 LED БЕЛЫЙ прозрачный ПВХ IP65 эффект мерцания 230В соединяется, нужен блок 303-500-1</t>
  </si>
  <si>
    <t>Гирлянда светодиодная Занавес 2х9м 1200 LED 
ТЕПЛЫЙ БЕЛЫЙ прозрачный ПВХ IP65 эффект мерцания 230В соединяется 
NEON-NIGHT нужен шнур 303-500-1</t>
  </si>
  <si>
    <t>https://catalog.onliner.by/xmaslights/neonnight/235696235696</t>
  </si>
  <si>
    <t>Professional Занавес Каучук 2х1,5 м</t>
  </si>
  <si>
    <t>Professional Занавес Каучук 2х3 м</t>
  </si>
  <si>
    <t>237-134</t>
  </si>
  <si>
    <t>4601004087651</t>
  </si>
  <si>
    <t>Гирлянда светодиодная Занавес 2х3м 760 LED ЗЕЛЕНЫЙ белый КАУЧУК IP67 постоянное свечение 230В блок в комплекте NEON-NIGHT</t>
  </si>
  <si>
    <t>237-136</t>
  </si>
  <si>
    <t>4601004087675</t>
  </si>
  <si>
    <t>Гирлянда светодиодная Занавес 2х3м 760 LED ТЕПЛЫЙ БЕЛЫЙ белый КАУЧУК IP67 постоянное свечение 230В блок в комплекте NEON-NIGHT</t>
  </si>
  <si>
    <t>Professional Занавес Каучук 2х6 м</t>
  </si>
  <si>
    <t xml:space="preserve">Умный занавес ПВХ </t>
  </si>
  <si>
    <t>245-901</t>
  </si>
  <si>
    <t>4601004016644</t>
  </si>
  <si>
    <t>Контроллер 24 В</t>
  </si>
  <si>
    <t>245-911</t>
  </si>
  <si>
    <t>4601004016699</t>
  </si>
  <si>
    <t>Трансформатор 24В, 100W</t>
  </si>
  <si>
    <t>245-335</t>
  </si>
  <si>
    <t>2000030966022</t>
  </si>
  <si>
    <t>Гирлянда LED - Умный дождь, 3 секции 1x3 м, 4x3 нитей, 30W, 24V, 8 каналов, 672 БЕЛЫХ диода, IP65</t>
  </si>
  <si>
    <t>https://www.youtube.com/watch?v=3_EHn6S0Wj8</t>
  </si>
  <si>
    <t>Гирлянда Бахрома / айсикл</t>
  </si>
  <si>
    <t>Original Бахрома ПВХ 1,8*0,5 м</t>
  </si>
  <si>
    <t>Гирлянда светодиодная Бахрома (Айсикл) 1,8х0,5м 48 LED БЕЛЫЙ белый ПВХ IP65 постоянное свечение 230В блок в комплекте NEON-NIGHT</t>
  </si>
  <si>
    <t>Original Бахрома ПВХ 2,4х0,6 м</t>
  </si>
  <si>
    <t>Гирлянда светодиодная Бахрома (Айсикл) 2,4х0,6м 76 LED БЕЛЫЙ белый ПВХ IP65 постоянное свечение 230В нужен блок 303-500-1 NEON-NIGHT</t>
  </si>
  <si>
    <t>Гирлянда светодиодная Бахрома (Айсикл) 
2,4х0,6м 76 LED ТЕПЛЫЙ БЕЛЫЙ белый ПВХ IP65 постоянное свечение 230В 
блок в комплекте NEON-NIGHT</t>
  </si>
  <si>
    <t>Гирлянда светодиодная Бахрома (Айсикл) 2,4х0,6м 88 LED БЕЛЫЙ белый ПВХ IP65 эффект мерцания 230В нужен блок 303-500-1 NEON-NIGHT</t>
  </si>
  <si>
    <t>Гирлянда светодиодная Бахрома (Айсикл) 2,4х0,6м 88 LED СИНИЙ белый ПВХ IP65 эффект мерцания 230В нужен блок 303-500-1 NEON-NIGHT</t>
  </si>
  <si>
    <t>255-037</t>
  </si>
  <si>
    <t>4601004015920</t>
  </si>
  <si>
    <t>Гирлянда светодиодная Бахрома (Айсикл) 2,4х0,6м 88 LED ТЕПЛЫЙ БЕЛЫЙ белый ПВХ IP65 постоянное свечение 230В блок в комплекте NEON-NIGHT</t>
  </si>
  <si>
    <t>Гирлянда светодиодная Бахрома (Айсикл) 2,4х0,6м 88 LED ТЕПЛЫЙ БЕЛЫЙ белый ПВХ IP65 эффект мерцания 230В нужен блок 303-500-1 NEON-NIGHT</t>
  </si>
  <si>
    <t>Original Бахрома ПВХ 4,8х0,6 м</t>
  </si>
  <si>
    <t>Гирлянда светодиодная Бахрома (Айсикл) 4,8х0,6м 152 LED БЕЛЫЙ белый ПВХ IP65 постоянное свечение 230В нужен блок 303-500-1 NEON-NIGHT</t>
  </si>
  <si>
    <t>Гирлянда светодиодная Бахрома (Айсикл) 4,8х0,6м 152 LED СИНИЙ белый ПВХ IP65 постоянное свечение 230В нужен блок 303-500-1 NEON-NIGHT</t>
  </si>
  <si>
    <t>Гирлянда светодиодная Бахрома (Айсикл) 4,8х0,6м 152 LED ТЕПЛЫЙ БЕЛЫЙ белый ПВХ IP65 постоянное свечение 230В нужен блок 303-500-1 NEON-NIGHT</t>
  </si>
  <si>
    <t>Гирлянда светодиодная Бахрома (Айсикл) 4,8х0,6м 176 LED БЕЛЫЙ белый ПВХ IP65 эффект мерцания 230В нужен блок 303-500-1 NEON-NIGHT</t>
  </si>
  <si>
    <t>255-161</t>
  </si>
  <si>
    <t>4601004095373</t>
  </si>
  <si>
    <t>Гирлянда светодиодная Бахрома (Айсикл) 4,8х0,6м 176 LED ЖЕЛТЫЙ белый ПВХ IP65 эффект мерцания 230В нужен блок 303-500-1 NEON-NIGHT</t>
  </si>
  <si>
    <t>255-141</t>
  </si>
  <si>
    <t>4601004015999</t>
  </si>
  <si>
    <t>Гирлянда светодиодная Бахрома (Айсикл) 4,8х0,6м 176 LED ЖЕЛТЫЙ прозрачный ПВХ IP65 постоянное свечение 230В нужен блок 303-500-1 NEON-NIGHT</t>
  </si>
  <si>
    <t>Гирлянда светодиодная Бахрома (Айсикл) 4,8х0,6м 176 LED СИНИЙ черный ПВХ IP65 эффект мерцания 230В нужен блок 303-500 NEON-NIGHT</t>
  </si>
  <si>
    <t>255-138</t>
  </si>
  <si>
    <t>4601004015975</t>
  </si>
  <si>
    <t>Гирлянда светодиодная Бахрома (Айсикл) 4,8х0,6м 176 LED ТЕПЛЫЙ БЕЛЫЙ белый ПВХ IP65 постоянное свечение 230В нужен блок 303-500-1 NEON-NIGHT</t>
  </si>
  <si>
    <t>Гирлянда светодиодная Бахрома (Айсикл) 4,8х0,6м 176 LED ТЕПЛЫЙ БЕЛЫЙ белый ПВХ IP65 эффект мерцания 230В нужен блок 303-500-1 NEON-NIGHT</t>
  </si>
  <si>
    <t>https://catalog.onliner.by/xmaslights/neonnight/255185255185</t>
  </si>
  <si>
    <t>https://catalog.onliner.by/xmaslights/neonnight/255186</t>
  </si>
  <si>
    <t>Professional Бахрома Каучук 3,2х0,6 м</t>
  </si>
  <si>
    <t>255-275</t>
  </si>
  <si>
    <t>4601004014831</t>
  </si>
  <si>
    <t>Гирлянда светодиодная Бахрома (Айсикл) 3,2х0,6м 88 LED БЕЛЫЙ черный каучук 3,3мм IP67 постоянное свечение 230В нужен блок 315-000 NEON-NIGHT</t>
  </si>
  <si>
    <t>255-276</t>
  </si>
  <si>
    <t>4601004180307</t>
  </si>
  <si>
    <t>Гирлянда светодиодная Бахрома (Айсикл) 3,2х0,6м 88 LED ТЕПЛЫЙ БЕЛЫЙ черный каучук 3,3мм IP67 постоянное свечение 230В нужен блок 315-000 NEON-NIGHT</t>
  </si>
  <si>
    <t>Professional Бахрома Каучук 3,2х0,9 м</t>
  </si>
  <si>
    <t>https://catalog.onliner.by/xmaslights/neonnight/255456</t>
  </si>
  <si>
    <t>https://catalog.onliner.by/xmaslights/neonnight/255466</t>
  </si>
  <si>
    <t>Professional Бахрома Каучук 4х0,6 м</t>
  </si>
  <si>
    <t>Гирлянда светодиодная Бахрома (Айсикл) 4,0х0,6м 128 LED БЕЛЫЙ черный каучук 3,3мм IP67 эффект мерцания 230В нужен блок 315-000 NEON-NIGHT</t>
  </si>
  <si>
    <t>Гирлянда светодиодная Бахрома (Айсикл) 4,0х0,6м 128 LED СИНИЙ черный каучук 2,3мм IP67 эффект мерцания 230В нужен блок 315-000 NEON-NIGHT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</si>
  <si>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</si>
  <si>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</si>
  <si>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</si>
  <si>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</si>
  <si>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Professional Бахрома Каучук 5х0,7 м</t>
  </si>
  <si>
    <t>Гирлянда светодиодная Бахрома (Айсикл) 5х0,7м 152 LED БЕЛЫЙ черный каучук 2,3мм IP67 эффект мерцания 230В нужен блок 315-000 NEON-NIGHT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</si>
  <si>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</si>
  <si>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Гирлянда светодиодная Бахрома (Айсикл) 5х0,7м 152 LED ТЕПЛЫЙ БЕЛЫЙ белый каучук 2,3мм IP67 эффект мерцания 230В нужен блок 315-001 NEON-NIGHT</t>
  </si>
  <si>
    <t>Professional Бахрома Каучук 5,6х0,9 м</t>
  </si>
  <si>
    <t>Гирлянда светодиодная Бахрома (Айсикл) 5,6x0,9м 240 LED БЕЛЫЙ белый каучук 3,3мм IP67 постоянное свечение 230В нужен блок 315-001 NEON-NIGHT</t>
  </si>
  <si>
    <t>https://catalog.onliner.by/xmaslights/neonnight/255263</t>
  </si>
  <si>
    <t>Professional Бахрома Каучук 6х1,5 м</t>
  </si>
  <si>
    <t>255-295</t>
  </si>
  <si>
    <t>4601004087835</t>
  </si>
  <si>
    <t>Гирлянда светодиодная Бахрома (Айсикл) 6,0х1,5м 480 LED БЕЛЫЙ черный каучук 3,3мм IP67 постоянное свечение 230В блок в комплекте NEON-NIGHT</t>
  </si>
  <si>
    <t>255-296</t>
  </si>
  <si>
    <t>4601004087842</t>
  </si>
  <si>
    <t>Гирлянда светодиодная Бахрома (Айсикл) 6,0х1,5м 480 LED ТЕПЛЫЙ БЕЛЫЙ черный каучук 3,3мм IP67 постоянное свечение 230В нужен блок 315-000 NEON-NIGHT</t>
  </si>
  <si>
    <t>Гирлянда Сеть</t>
  </si>
  <si>
    <t>Сеть ПВХ Original 2х0,7 м</t>
  </si>
  <si>
    <t>https://www.youtube.com/watch?v=jgzdgwwNToQ</t>
  </si>
  <si>
    <t>Сеть ПВХ Original 2х1,5 м</t>
  </si>
  <si>
    <t>https://www.youtube.com/watch?v=EW6nuUg1-aY</t>
  </si>
  <si>
    <t>https://www.youtube.com/watch?v=7pVNe9u3deQ</t>
  </si>
  <si>
    <t>https://www.youtube.com/watch?v=c8O8-f_bIj8</t>
  </si>
  <si>
    <t>https://www.youtube.com/watch?v=cOQPzn5eNp4</t>
  </si>
  <si>
    <t>Сеть ПВХ Original 1х1,5 м</t>
  </si>
  <si>
    <t>https://www.youtube.com/watch?v=ZFhkUGrMOJM</t>
  </si>
  <si>
    <t>Сеть ПВХ Original 1,5х2х2 м</t>
  </si>
  <si>
    <t>https://www.youtube.com/watch?v=7K8LKDX3-NQ</t>
  </si>
  <si>
    <t>Сеть ПВХ Original 2,5х2,5 м</t>
  </si>
  <si>
    <t>https://www.youtube.com/watch?v=bInKLNuoL_o</t>
  </si>
  <si>
    <t>https://www.youtube.com/watch?v=5BFyMU52sOA</t>
  </si>
  <si>
    <t>Сеть Каучук Professional 2х1,5 м</t>
  </si>
  <si>
    <t>Сеть Каучук Professional 2х3 м</t>
  </si>
  <si>
    <t>Сеть Каучук Professional 2х4 м</t>
  </si>
  <si>
    <t>Гирлянда Нить</t>
  </si>
  <si>
    <t>Аксессуары для нитей</t>
  </si>
  <si>
    <t>Блок питания для уличных гирлянд 230В, 3А, белый ПВХ, IP65 NEON-NIGHT</t>
  </si>
  <si>
    <t>Блок питания для уличных гирлянд 230В, 3А, черный ПВХ, IP65 NEON-NIGHT</t>
  </si>
  <si>
    <t>531-100</t>
  </si>
  <si>
    <t>4601004093140</t>
  </si>
  <si>
    <t>Трансформатор 230 В - 24В, 40Вт</t>
  </si>
  <si>
    <t>https://catalog.onliner.by/xmaslights/neonnight/531311531311</t>
  </si>
  <si>
    <t>https://catalog.onliner.by/xmaslights/neonnight/531312531312</t>
  </si>
  <si>
    <t>Блок питания для уличных гирлянд 230В, 4А, белый каучук, IP67 NEON-NIGHT</t>
  </si>
  <si>
    <t>Блок питания для уличных гирлянд 230В, 3А, черный каучук, IP67 NEON-NIGHT</t>
  </si>
  <si>
    <t>Блок питания для уличных гирлянд (без вилки) 3А, белый каучук, IP65 NEON-NIGHT</t>
  </si>
  <si>
    <t>Блок питания для уличных гирлянд (без вилки) 3А, черный каучук, IP65 NEON-NIGHT</t>
  </si>
  <si>
    <t>Гирлянда Нить ПВХ Original</t>
  </si>
  <si>
    <t>245-408</t>
  </si>
  <si>
    <t>4601004279384</t>
  </si>
  <si>
    <t>Гирлянда светодиодная Нить 10м 100 LED RGB черный ПВХ IP65 свечение с динамикой 230В соединяется NEON-NIGHT нужен контроллер 245-908</t>
  </si>
  <si>
    <t>245-409</t>
  </si>
  <si>
    <t>4601004090545</t>
  </si>
  <si>
    <t>Гирлянда светодиодная Нить 10м 100 LED RGB прозрачный ПВХ IP65 свечение с динамикой 230В соединяется NEON-NIGHT нужен контроллер 245-908</t>
  </si>
  <si>
    <t>305-152</t>
  </si>
  <si>
    <t>4601004092433</t>
  </si>
  <si>
    <t>НИТЬ ПВХ 10м (2 модуля x 5м), прозрачный ПВХ, 100 LED Красный, 24В (нужен трансформатор 531-100/531-200)</t>
  </si>
  <si>
    <t>305-153</t>
  </si>
  <si>
    <t>4601004092440</t>
  </si>
  <si>
    <t>НИТЬ ПВХ 10м (2 модуля x 5м), прозрачный ПВХ, 100 LED Синий, 24В (нужен трансформатор 531-100/531-200)</t>
  </si>
  <si>
    <t>305-142</t>
  </si>
  <si>
    <t>4601004092365</t>
  </si>
  <si>
    <t>Гирлянда светодиодная Нить 10м 100 LED КРАСНЫЙ черный ПВХ IP65 постоянное свечение 24В соединяется NEON-NIGHT нужен трансформатор 531-100/531-311/531-312</t>
  </si>
  <si>
    <t>315-115</t>
  </si>
  <si>
    <t>4601004016750</t>
  </si>
  <si>
    <t>Гирлянда светодиодная Нить 20м 200 LED БЕЛЫЙ черный ПВХ IP65 постоянное свечение 24В соединяется NEON-NIGHT трансформатор в комплекте</t>
  </si>
  <si>
    <t>315-116</t>
  </si>
  <si>
    <t>4601004016767</t>
  </si>
  <si>
    <t>Гирлянда светодиодная Нить 20м 200 LED ТЕПЛЫЙ БЕЛЫЙ черный ПВХ IP65 постоянное свечение 24В соединяется NEON-NIGHT трансформатор в комплекте</t>
  </si>
  <si>
    <t>Гирлянда светодиодная Нить 10м 100 LED ТЕПЛЫЙ БЕЛЫЙ белый ПВХ IP65 эффект мерцания 24В соединяется NEON-NIGHT нужен трансформатор 531-100/531-311/531-312</t>
  </si>
  <si>
    <t>https://catalog.onliner.by/xmaslights/neonnight/305254</t>
  </si>
  <si>
    <t xml:space="preserve"> https://pronto.by/catalog/product/305-254.html</t>
  </si>
  <si>
    <t>305-252</t>
  </si>
  <si>
    <t>4601004092839</t>
  </si>
  <si>
    <t>Гирлянда светодиодная Нить 10м 100 LED КРАСНЫЙ прозрачный ПВХ IP65 эффект мерцания 24В соединяется NEON-NIGHT нужен трансформатор 531-100/531-311/531-312</t>
  </si>
  <si>
    <t>305-386</t>
  </si>
  <si>
    <t>4601004303362</t>
  </si>
  <si>
    <t>Гирлянда светодиодная Нить 10м 200 LED ТЕПЛЫЙ
 БЕЛЫЙ прозрачный ПВХ IP65 постоянное свечение 24В соединяется 
NEON-NIGHT нужен трансформатор 531-100/531-311/531-312</t>
  </si>
  <si>
    <t>https://catalog.onliner.by/xmaslights/neonnight/305386305386</t>
  </si>
  <si>
    <t>Гирлянда светодиодная Нить 10м 200 LED БЕЛЫЙ 
прозрачный ПВХ IP65 эффект мерцания 24В соединяется NEON-NIGHT нужен 
трансформатор 531-100/531-311/531-312</t>
  </si>
  <si>
    <t>https://catalog.onliner.by/xmaslights/neonnight/305395305395</t>
  </si>
  <si>
    <t>Гирлянда светодиодная Нить 10м 200 LED ТЕПЛЫЙ
 БЕЛЫЙ прозрачный ПВХ IP65 эффект мерцания 24В соединяется NEON-NIGHT 
нужен трансформатор 531-100/531-311/531-312</t>
  </si>
  <si>
    <t>https://catalog.onliner.by/xmaslights/neonnight/305396305396</t>
  </si>
  <si>
    <t>Нить Каучук / Дюраплей</t>
  </si>
  <si>
    <t>Гирлянда светодиодная Нить 20м 200 LED ТЕПЛЫЙ БЕЛЫЙ черный каучук IP67 постоянное свечение 230В соединяется NEON-NIGHT нужен шнур 315-000</t>
  </si>
  <si>
    <t>315-535</t>
  </si>
  <si>
    <t>4601004225046</t>
  </si>
  <si>
    <t>Гирлянда Нить 20м (4 модуля x 5м) 200 LED БЕЛЫЙ белый каучук IP67 эффект мерцания 24В соединяется нужен трансформатор 531-100/531-311/531-312</t>
  </si>
  <si>
    <t>Гирлянда светодиодная Нить 20м 200 LED БЕЛЫЙ белый каучук IP67 эффект мерцания 230В соединяется NEON-NIGHT нужен шнур 315-001</t>
  </si>
  <si>
    <t>Гирлянда светодиодная Нить 20м 200 LED ТЕПЛЫЙ БЕЛЫЙ белый каучук IP67 эффект мерцания 230В соединяется NEON-NIGHT нужен шнур 315-001</t>
  </si>
  <si>
    <t>https://catalog.onliner.by/xmaslights/neonnight/315173315173</t>
  </si>
  <si>
    <t>Мультишарики ПВХ Original</t>
  </si>
  <si>
    <t>Гирлянда светодиодная Мультишарики Ø17,5мм 10м 100 LED RGB черный ПВХ IP65 быстрая смена цвета 230В нужен блок 303-500 NEON-NIGHT</t>
  </si>
  <si>
    <t>https://www.youtube.com/watch?v=HXAHbJLDqPc</t>
  </si>
  <si>
    <t xml:space="preserve">
Гирлянда светодиодная Мультишарики Ø17,5мм 
10м 100 LED RGB черный ПВХ IP65 медленная смена цвета 230В нужен блок 
303-500 NEON-NIGHT</t>
  </si>
  <si>
    <t>https://catalog.onliner.by/xmaslights/neonnight/3035094</t>
  </si>
  <si>
    <t>Гирлянда светодиодная Мультишарики Ø13мм 20м 200 LED RGB черный ПВХ IP65 быстрая смена цвета 230В нужен блок 303-500 NEON-NIGHT</t>
  </si>
  <si>
    <t>https://www.youtube.com/watch?v=QIGq1aWRqsc</t>
  </si>
  <si>
    <t>Гирлянда светодиодная Мультишарики Ø17,5мм 20м 200 LED RGB черный ПВХ IP65 быстрая смена цвета 230В нужен блок 303-500 NEON-NIGHT</t>
  </si>
  <si>
    <t>Гирлянда светодиодная Мультишарики Ø23мм 10м 80 LED ТЕПЛЫЙ БЕЛЫЙ черный ПВХ IP65 постоянное свечение 230В нужен блок 303-500 NEON-NIGHT</t>
  </si>
  <si>
    <t>https://www.youtube.com/watch?v=5ay4GaZkNoc</t>
  </si>
  <si>
    <t>https://www.youtube.com/watch?v=qDCfvftFL70</t>
  </si>
  <si>
    <t>https://www.youtube.com/watch?v=JbwIUZ_Ru0o</t>
  </si>
  <si>
    <t>Мультишарики Каучук</t>
  </si>
  <si>
    <t>24 месяцев</t>
  </si>
  <si>
    <t>https://www.youtube.com/watch?v=poKjVPryne8</t>
  </si>
  <si>
    <t>Гирлянда светодиодная Мультишарики Ø23мм 10м 80 LED ТЕПЛЫЙ БЕЛЫЙ черный каучук IP67 постоянное свечение 230В нужен блок 315-000 NEON-NIGHT</t>
  </si>
  <si>
    <t>Твинкл-лайт ПВХ Original</t>
  </si>
  <si>
    <t>Гирлянда Нить управляемая 10м 100 LED БЕЛЫЙ черный ПВХ IP65 свечение с динамикой 230В нужен контроллер 217-204 NEON-NIGHT</t>
  </si>
  <si>
    <t>Гирлянда Нить управляемая 10м 100 LED МУЛЬТИКОЛОР (RGYB) черный ПВХ IP65 свечение с динамикой 230В нужен контроллер 217-204 NEON-NIGHT</t>
  </si>
  <si>
    <t>Гирлянда Нить управляемая 10м 100 LED ТЕПЛЫЙ БЕЛЫЙ черный ПВХ IP65 свечение с динамикой 230В нужен контроллер 217-204 NEON-NIGHT</t>
  </si>
  <si>
    <t>Гирлянда Нить управляемая 10м 100 LED ЖЕЛТЫЙ черный ПВХ IP65 свечение с динамикой 230В контроллер в комплекте NEON-NIGHT</t>
  </si>
  <si>
    <t>Гирлянда Нить управляемая 10м 100 LED СИНИЙ черный ПВХ IP65 свечение с динамикой 230В контроллер в комплекте NEON-NIGHT</t>
  </si>
  <si>
    <t>Гирлянда Нить управляемая 20м 200 LED БЕЛЫЙ черный ПВХ IP65 свечение с динамикой 230В нужен контроллер 217-204 NEON-NIGHT</t>
  </si>
  <si>
    <t>Гирлянда Нить управляемая 20м 200 LED МУЛЬТИКОЛОР (RGYB) черный ПВХ IP65 свечение с динамикой 230В нужен контроллер 217-204 NEON-NIGHT</t>
  </si>
  <si>
    <t>Гирлянда Нить управляемая 20м 200 LED ТЕПЛЫЙ БЕЛЫЙ черный ПВХ IP65 свечение с динамикой 230В нужен контроллер 217-204 NEON-NIGHT</t>
  </si>
  <si>
    <t>Твинкл-лайт Каучук Professional</t>
  </si>
  <si>
    <t>303-325</t>
  </si>
  <si>
    <t>4610003606756</t>
  </si>
  <si>
    <t>Гирлянда Нить управляемая 20м 240 LED БЕЛЫЙ черный каучук IP67 свечение с динамикой 230В нужен контроллер 217-204 NEON-NIGHT</t>
  </si>
  <si>
    <t>303-321</t>
  </si>
  <si>
    <t>4610003606763</t>
  </si>
  <si>
    <t>Гирлянда Нить управляемая 20м 240 LED ЖЕЛТЫЙ черный каучук IP67 свечение с динамикой 230В не соединяется контроллер в комплекте NEON-NIGHT</t>
  </si>
  <si>
    <t>Гирлянда Кластер ПВХ</t>
  </si>
  <si>
    <t>303-646</t>
  </si>
  <si>
    <t>4601004179783</t>
  </si>
  <si>
    <t>Гирлянда светодиодная Кластер 10м 400 LED ТЕПЛЫЙ БЕЛЫЙ прозрачный ПВХ IP65 постоянное свечение 230В нужен блок 303-500-1 NEON-NIGHT</t>
  </si>
  <si>
    <t>Гирлянда Кластер Каучук</t>
  </si>
  <si>
    <t>Гирлянда Клип-лайт</t>
  </si>
  <si>
    <t>Клип-лайт Original 3 нити</t>
  </si>
  <si>
    <t>323-319</t>
  </si>
  <si>
    <t>4601004033412</t>
  </si>
  <si>
    <t>Гирлянда LED ClipLight 24V, 3 нити по 10 метров, цвет диодов Мульти</t>
  </si>
  <si>
    <t>323-313</t>
  </si>
  <si>
    <t>4601004033429</t>
  </si>
  <si>
    <t>Гирлянда LED ClipLight 24V, 3 нити по 10 метров, цвет диодов Синий</t>
  </si>
  <si>
    <t>https://catalog.onliner.by/xmaslights/neonnight/nn323313</t>
  </si>
  <si>
    <t>https://pronto.by/catalog/product/323-313.html</t>
  </si>
  <si>
    <t>Клип-лайт Original 5 нитей</t>
  </si>
  <si>
    <t>Клип-лайт в бухтах Professional 100 м шаг 15 см</t>
  </si>
  <si>
    <t>Гирлянда LED Клип-лайт 12 V, прозрачный ПВХ, 150 мм, цвет диодов Белый Flashing (Белый)</t>
  </si>
  <si>
    <t>Гирлянда LED Клип-лайт 12 V, прозрачный ПВХ, 150 мм, цвет диодов Теплый белый, Flashing (Белый)</t>
  </si>
  <si>
    <t>Гирлянда LED ClipLight 12V 150 мм, цвет диодов Белый</t>
  </si>
  <si>
    <t>Гирлянда LED ClipLight 12V 150 мм, цвет диодов Желтый</t>
  </si>
  <si>
    <t>Гирлянда LED ClipLight 12V 150 мм, цвет диодов Мульти</t>
  </si>
  <si>
    <t>Гирлянда LED ClipLight 12V 150 мм, цвет диодов Синий</t>
  </si>
  <si>
    <t>Гирлянда LED ClipLight 12V 150 мм, цвет диодов ТЕПЛЫЙ БЕЛЫЙ</t>
  </si>
  <si>
    <t>Гирлянда LED ClipLight 12V 150 мм, цвет диодов Белый, Flashing (Белый)</t>
  </si>
  <si>
    <t>Гирлянда LED Clip Light 12V шаг 150 мм, цвет диодов ТЕПЛЫЙ БЕЛЫЙ, Flashing (Белый)</t>
  </si>
  <si>
    <t>https://www.youtube.com/watch?v=GiY2nM1CRRc</t>
  </si>
  <si>
    <t>Гирлянда LED Клип-лайт 12 V, прозрачный ПВХ, 150 мм, цвет диодов белый</t>
  </si>
  <si>
    <t>Гирлянда LED Клип-лайт 12 V, прозрачный ПВХ, 150 мм, цвет диодов теплый белый</t>
  </si>
  <si>
    <t>Тающие сосульки</t>
  </si>
  <si>
    <t>https://www.youtube.com/watch?v=dvm6mkkeOvc</t>
  </si>
  <si>
    <t>https://www.youtube.com/watch?v=v4lVbb6SXVg</t>
  </si>
  <si>
    <t>https://www.youtube.com/watch?v=4JBUYO0NOZU</t>
  </si>
  <si>
    <t>https://catalog.onliner.by/xmaslights/neonnight/256427</t>
  </si>
  <si>
    <t>256-428</t>
  </si>
  <si>
    <t>4601004335295</t>
  </si>
  <si>
    <t>Гирлянда Тающие сосульки комплект 10 шт. х 100см, шаг 100см, 960 LED ТЕПЛЫЙ БЕЛЫЙ, белый каучук, IP65, 24В, соединяется</t>
  </si>
  <si>
    <t>256-422</t>
  </si>
  <si>
    <t>4601004335288</t>
  </si>
  <si>
    <t>Гирлянда Тающие сосульки комплект 10 шт. х 100см, шаг 100см, 960 LED ТЕПЛЫЙ БЕЛЫЙ, черный каучук, IP65, 24В, соединяется</t>
  </si>
  <si>
    <t>https://catalog.onliner.by/xmaslights/neonnight/256423</t>
  </si>
  <si>
    <t>https://www.youtube.com/watch?v=ncAr7PD9cEc</t>
  </si>
  <si>
    <t>Белт-лайт</t>
  </si>
  <si>
    <t>Белт-лайт двухжильный</t>
  </si>
  <si>
    <t>Белт-Лайт 2 жилы, 100м, шаг 15см, 667 патронов E27, IP65, белый плоский провод каучук</t>
  </si>
  <si>
    <t>Белт-Лайт 2 жилы, 50м, шаг 20см, 250 патронов E27, IP65, черный плоский провод каучук</t>
  </si>
  <si>
    <t>Белт-Лайт 2 жилы, 50м, шаг 40см, 125 патронов E27, IP65, белый плоский провод каучук</t>
  </si>
  <si>
    <t>Белт-Лайт 2 жилы, 50м, шаг 40см, 125 патронов E27, IP65, черный плоский провод каучук</t>
  </si>
  <si>
    <t>331-231</t>
  </si>
  <si>
    <t>4601004257658</t>
  </si>
  <si>
    <t>Белт-Лайт 2 жилы, 100м, шаг 40см, 225 подвесных патронов Е27, IP65, черный круглый провод каучук</t>
  </si>
  <si>
    <t>Белт-Лайт 2 жилы, 100м, шаг 50см, 180 патронов E27, IP65, черный плоский провод каучук</t>
  </si>
  <si>
    <t>Белт-Лайт 2 жилы, 50м, шаг 40см, 125 патронов E27, IP65, черный круглый провод ПВХ</t>
  </si>
  <si>
    <t>Белт-Лайт 2 жилы, 50м, шаг 40см, 125 патронов E27, IP65, белый круглый провод ПВХ</t>
  </si>
  <si>
    <t>https://pronto.by/catalog/product/331-242.html</t>
  </si>
  <si>
    <t>Белт-Лайт 2 жилы, 50м, шаг 20см, 250 патронов E27, IP65, черный круглый провод ПВХ</t>
  </si>
  <si>
    <t>https://pronto.by/catalog/product/331-243.html</t>
  </si>
  <si>
    <t>Белт-Лайт 2 жилы, 50м, шаг 20см, 250 патронов E27, IP65, белый круглый провод ПВХ</t>
  </si>
  <si>
    <t>https://pronto.by/catalog/product/331-244.html</t>
  </si>
  <si>
    <t>Кабель гирлянды Белт-Лайт, 2 жилы, 2х1,5мм², 100м бухта NEON-NIGHT патроны 331-001 отдельно</t>
  </si>
  <si>
    <t>50,00</t>
  </si>
  <si>
    <t>Набор ЕВРО Белт-Лайт 2 жилы, 100м, шаг 40см, 225 LED-ламп БЕЛЫЙ, 45мм (6 LED), плоский провод каучук</t>
  </si>
  <si>
    <t>Набор ЕВРО Белт-Лайт 2 жилы, 100м, шаг 40см, 225 LED-ламп ТЕПЛЫЙ БЕЛЫЙ, 45мм (6 LED), плоский провод каучук</t>
  </si>
  <si>
    <t>Белт-лайт пятижильный</t>
  </si>
  <si>
    <t>Аксессуары для белт-лайт</t>
  </si>
  <si>
    <t>https://catalog.onliner.by/ledcontrol/neonnight/neon332118</t>
  </si>
  <si>
    <t>https://catalog.onliner.by/ledcontrol/neonnight/neon332116</t>
  </si>
  <si>
    <t>https://catalog.onliner.by/ledcontrol/neonnight/neon332119</t>
  </si>
  <si>
    <t>https://catalog.onliner.by/ledcontrol/neonnight/332120nn</t>
  </si>
  <si>
    <t>https://catalog.onliner.by/ledcontrol/neonnight/neon332115</t>
  </si>
  <si>
    <t>Удлинитель E27, с проводом 20см NEON-NIGHT</t>
  </si>
  <si>
    <t>Удлинитель E27, с проводом 30см NEON-NIGHT</t>
  </si>
  <si>
    <t>Удлинитель E27, с проводом 50см NEON-NIGHT</t>
  </si>
  <si>
    <t>Лампы декоративные</t>
  </si>
  <si>
    <t>Лампа 10 Вт, накаливания</t>
  </si>
  <si>
    <t>401-111</t>
  </si>
  <si>
    <t>4610003607395</t>
  </si>
  <si>
    <t>Лампа накаливания, диаметр 45мм, E27, 10Вт, желтая колба, 230В NEON-NIGHT</t>
  </si>
  <si>
    <t>401-114</t>
  </si>
  <si>
    <t>4610003607401</t>
  </si>
  <si>
    <t>Лампа накаливания, диаметр 45мм, E27, 10Вт, зеленая колба, 230В NEON-NIGHT</t>
  </si>
  <si>
    <t>401-112</t>
  </si>
  <si>
    <t>4610003607418</t>
  </si>
  <si>
    <t>Лампа накаливания, диаметр 45мм, E27, 10Вт, красная колба, 230В NEON-NIGHT</t>
  </si>
  <si>
    <t>401-119</t>
  </si>
  <si>
    <t>4610003607425</t>
  </si>
  <si>
    <t>Лампа накаливания e27 10 Вт прозрачная колба</t>
  </si>
  <si>
    <t>401-113</t>
  </si>
  <si>
    <t>4610003607432</t>
  </si>
  <si>
    <t>Лампа накаливания, диаметр 45мм, E27, 10Вт, синяя колба, 230В NEON-NIGHT</t>
  </si>
  <si>
    <t>Лампа 5 LED</t>
  </si>
  <si>
    <t xml:space="preserve">Лампа 6 LED </t>
  </si>
  <si>
    <t>405-122</t>
  </si>
  <si>
    <t>4601004013803</t>
  </si>
  <si>
    <t>Ретро-лампа светодиодная, диаметр 45мм, E27, 6 LED, 2Вт, КРАСНЫЙ, прозрачная колба, 230В NEON-NIGHT</t>
  </si>
  <si>
    <t>Лампа 9 LED</t>
  </si>
  <si>
    <t>https://www.youtube.com/watch?v=vqnw-JMwPGw</t>
  </si>
  <si>
    <t>Лампа , 24 В</t>
  </si>
  <si>
    <t>https://catalog.onliner.by/lightbulb/neonnight/405625405625</t>
  </si>
  <si>
    <t>Лампа 12 LED</t>
  </si>
  <si>
    <t>Лампа 6 LED с цоколем</t>
  </si>
  <si>
    <t>Лампа Ретро</t>
  </si>
  <si>
    <t>Лампа строб e27</t>
  </si>
  <si>
    <t>Лампа строб накладная</t>
  </si>
  <si>
    <t>Елочные игрушки</t>
  </si>
  <si>
    <t>Шары елочные</t>
  </si>
  <si>
    <t>6/192</t>
  </si>
  <si>
    <t>502-001</t>
  </si>
  <si>
    <t>4601004004429</t>
  </si>
  <si>
    <t>Елочная фигура Шар, 20 см, цвет золотой глянцевый</t>
  </si>
  <si>
    <t>502-002</t>
  </si>
  <si>
    <t>4601004004467</t>
  </si>
  <si>
    <t>Елочная фигура Шар, 20 см, цвет красный глянцевый</t>
  </si>
  <si>
    <t>502-005</t>
  </si>
  <si>
    <t>4601004004474</t>
  </si>
  <si>
    <t>Елочная фигура Шар, 20 см, цвет серебряный глянцевый</t>
  </si>
  <si>
    <t>502-011</t>
  </si>
  <si>
    <t>4601004004412</t>
  </si>
  <si>
    <t>Елочная фигура Шар, 25 см, цвет золотой глянцевый</t>
  </si>
  <si>
    <t>502-012</t>
  </si>
  <si>
    <t>4601004004450</t>
  </si>
  <si>
    <t>Елочная фигура Шар, 25 см, цвет красный глянцевый</t>
  </si>
  <si>
    <t>502-015</t>
  </si>
  <si>
    <t>4601004004511</t>
  </si>
  <si>
    <t>Елочная фигура Шар, 25 см, цвет серебряный глянцевый</t>
  </si>
  <si>
    <t>Фигуры елочные</t>
  </si>
  <si>
    <t>502-392</t>
  </si>
  <si>
    <t>4601004019089</t>
  </si>
  <si>
    <t>Фигура Елочка складная 3D, 56*30 см, цвет красный/белый</t>
  </si>
  <si>
    <t>502-161</t>
  </si>
  <si>
    <t>4601004018570</t>
  </si>
  <si>
    <t>Елочная фигура Алмаз, 15 см, цвет золотой</t>
  </si>
  <si>
    <t>502-214</t>
  </si>
  <si>
    <t>4601004004351</t>
  </si>
  <si>
    <t>Елочная фигура Алмаз, 25 см, цвет зеленый</t>
  </si>
  <si>
    <t>502-216</t>
  </si>
  <si>
    <t>4601004018686</t>
  </si>
  <si>
    <t>Елочная фигура Алмаз, 25 см, цвет серебряный</t>
  </si>
  <si>
    <t>6/12</t>
  </si>
  <si>
    <t>502-208</t>
  </si>
  <si>
    <t>4601004018648</t>
  </si>
  <si>
    <t>Елочная фигура Лампа, 20 см, цвет красный</t>
  </si>
  <si>
    <t>4/12</t>
  </si>
  <si>
    <t>502-207</t>
  </si>
  <si>
    <t>4601004004337</t>
  </si>
  <si>
    <t>Елочная фигура Лампа, 20 см, цвет фиолетовый</t>
  </si>
  <si>
    <t>502-210</t>
  </si>
  <si>
    <t>4601004018655</t>
  </si>
  <si>
    <t>Елочная фигура Лампа, 25 см, цвет золотой</t>
  </si>
  <si>
    <t>6/24</t>
  </si>
  <si>
    <t>502-326</t>
  </si>
  <si>
    <t>4601004018860</t>
  </si>
  <si>
    <t>Елочная фигура Сосулька складная 3D, 51 см, цвет серебряный</t>
  </si>
  <si>
    <t>502-233</t>
  </si>
  <si>
    <t>4601004004573</t>
  </si>
  <si>
    <t>Елочная фигура Сосулька, 56 см, цвет синий</t>
  </si>
  <si>
    <t>Акриловые фигуры крупные 3D</t>
  </si>
  <si>
    <t>513-101</t>
  </si>
  <si>
    <t>2000031012414</t>
  </si>
  <si>
    <t>Акриловая светодиодная фигура Олень мама 115х155 см, 1900 светодиодов, IP65 понижающий трансформатор в комплекте, NEON-NIGHT</t>
  </si>
  <si>
    <t>513-124</t>
  </si>
  <si>
    <t>4601004229730</t>
  </si>
  <si>
    <t>Акриловая светодиодная фигура Полярный медведь 112х58 см, 400 светодиодов, понижающий трансформатор в комплекте</t>
  </si>
  <si>
    <t>513-183</t>
  </si>
  <si>
    <t>4601004180222</t>
  </si>
  <si>
    <t>Акриловая светодиодная фигура Приветствующий Санта Клаус 76х47х120 см, IP65, понижающий трансформатор в комплекте NEON-NIGHT</t>
  </si>
  <si>
    <t>513-182</t>
  </si>
  <si>
    <t>2000031012452</t>
  </si>
  <si>
    <t>Акриловая светодиодная фигура Санта Клаус 210х75х60 см, IP65 понижающий трансформатор в комплекте NEON-NIGHT</t>
  </si>
  <si>
    <t>513-244</t>
  </si>
  <si>
    <t>4601004003194</t>
  </si>
  <si>
    <t>Акриловая светодиодная фигура Северный олень 95х69х30 см, 420 светодиодов, IP65 понижающий трансформатор в комплекте NEON-NIGHT</t>
  </si>
  <si>
    <t>Каркасная иллюминация</t>
  </si>
  <si>
    <t>Снежинки и звезды 2D</t>
  </si>
  <si>
    <t>Neon-Night Co., LTD, №8 Fuxing Road, Guzhen Zhongshan City , Guandong, China</t>
  </si>
  <si>
    <t>501-339</t>
  </si>
  <si>
    <t>4601004017566</t>
  </si>
  <si>
    <t>Фигура Снежинка с Дедом Морозом размер 107x95см, 14м дюралайт NEON-NIGHT</t>
  </si>
  <si>
    <t>Плоские фигуры</t>
  </si>
  <si>
    <t>501-336</t>
  </si>
  <si>
    <t>4601004014084</t>
  </si>
  <si>
    <t>Фигура световая Звездный фейерверк размер 85x175 см NEON-NIGHT</t>
  </si>
  <si>
    <t>501-312</t>
  </si>
  <si>
    <t>4601004179974</t>
  </si>
  <si>
    <t>Фигура световая Подарки из гибкого неона 120х120 см, 1680 LED, цвет свечения теплый белый/белый NEON-NIGHT</t>
  </si>
  <si>
    <t>501-315</t>
  </si>
  <si>
    <t>4601004179936</t>
  </si>
  <si>
    <t>Фигура световая Сказочный олень из гибкого неона, 180х110 см, 2400 LED, цвет свечения белый NEON-NIGHT</t>
  </si>
  <si>
    <t>501-535</t>
  </si>
  <si>
    <t>4601004179950</t>
  </si>
  <si>
    <t>Фигура световая Факел 60х220 см, 160 LED, цвет свечения теплый белый NEON-NIGHT</t>
  </si>
  <si>
    <t>501-536</t>
  </si>
  <si>
    <t>4601004179967</t>
  </si>
  <si>
    <t>Фигура световая Хвост кометы 75х250 см, 160 LED, цвет свечения теплый белый/белый NEON-NIGHT</t>
  </si>
  <si>
    <t>Объемные фигуры</t>
  </si>
  <si>
    <t>S-0001</t>
  </si>
  <si>
    <t>2000604391960</t>
  </si>
  <si>
    <t>Световой арт-объект Ангел 600х250 см</t>
  </si>
  <si>
    <t>501-231</t>
  </si>
  <si>
    <t>4601004179875</t>
  </si>
  <si>
    <t>Фигура объемная Полярный медведь 210х110 см, 1500 LED, IP65, цвет свечения белый NEON-NIGHT</t>
  </si>
  <si>
    <t xml:space="preserve">Шары каркасные </t>
  </si>
  <si>
    <t>https://catalog.onliner.by/xmaslights/neonnight/501615</t>
  </si>
  <si>
    <t>https://catalog.onliner.by/xmaslights/neonnight/501616</t>
  </si>
  <si>
    <t>Макушки для Елок</t>
  </si>
  <si>
    <t>https://catalog.onliner.by/christmasdecor/neonnight/nn514272</t>
  </si>
  <si>
    <t>https://catalog.onliner.by/christmasdecor/neonnight/nn514273</t>
  </si>
  <si>
    <t>Аксессуары для монтажа</t>
  </si>
  <si>
    <t>https://catalog.onliner.by/xmaslights/neonnight/124019</t>
  </si>
  <si>
    <t>217-201</t>
  </si>
  <si>
    <t>4601004012622</t>
  </si>
  <si>
    <t>Контроллер для уличных гирлянд (сеть и твинкл)</t>
  </si>
  <si>
    <t>https://catalog.onliner.by/ledcontrol/neonnight/neon245908</t>
  </si>
  <si>
    <t>315-402</t>
  </si>
  <si>
    <t>4601004016972</t>
  </si>
  <si>
    <t>Разветвитель-Y (шнур) для уличных гирлянд (1 вход, 2 выхода) черный ПВХ</t>
  </si>
  <si>
    <t>315-420</t>
  </si>
  <si>
    <t>4601004338548</t>
  </si>
  <si>
    <t>Удлинитель (шнур) для подключения уличных гирлянд 1м белый ПВХ</t>
  </si>
  <si>
    <t>315-426</t>
  </si>
  <si>
    <t>4601004016941</t>
  </si>
  <si>
    <t>Удлинитель (шнур) для подключения уличных гирлянд 3м черный ПВХ</t>
  </si>
  <si>
    <t>315-428</t>
  </si>
  <si>
    <t>4601004338555</t>
  </si>
  <si>
    <t>Удлинитель (шнур) для подключения уличных гирлянд 1м черный ПВХ</t>
  </si>
  <si>
    <t>Компания "ПронтоТелеком"
 220073 РБ г.Минск, ул. Ольшевского, 10 -311. тел.: тел/факс. (+37517) 368-04-31, 368-51-60, 368-69-99, 368-35-99, 368-44-10;
 Velcom.: (+375 44) 779-55-56, (+375 29) 661-89-88; (+375 29) 325-76-41. 
 www.pronto.by. Email: info@pronto.by.</t>
  </si>
  <si>
    <t xml:space="preserve">
Скидки обсуждается индивидуально в зависимости от стоимости заказа.
- ЭКСПРЕСС ДОСТАВКА по РБ  -по согласованию.
Гарантия 1 год. Брак меняется 1 к 1</t>
  </si>
  <si>
    <t>Цена с НДС</t>
  </si>
  <si>
    <t xml:space="preserve">ЦЕНА со Скидкой </t>
  </si>
  <si>
    <t>Заказ</t>
  </si>
  <si>
    <t>Сумма с НДС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</si>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</sst>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B_r_-;\-* #,##0.00\ _B_r_-;_-* &quot;-&quot;??\ _B_r_-;_-@_-"/>
    <numFmt numFmtId="164" formatCode="#,##0.00[$р.]"/>
    <numFmt numFmtId="173" formatCode="0.0%"/>
    <numFmt numFmtId="174" formatCode="#,##0.00&quot;р.&quot;"/>
  </numFmts>
  <fonts count="46"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8"/>
      <color rgb="FF98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u/>
      <sz val="12"/>
      <color rgb="FF0000FF"/>
      <name val="Arial"/>
      <family val="2"/>
      <charset val="204"/>
    </font>
    <font>
      <b/>
      <sz val="12"/>
      <color rgb="FF1155CC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&quot;Times New Roman&quot;"/>
    </font>
    <font>
      <b/>
      <sz val="10"/>
      <name val="Arial"/>
      <family val="2"/>
      <charset val="204"/>
    </font>
    <font>
      <u/>
      <sz val="12"/>
      <color rgb="FF0000FF"/>
      <name val="Arial"/>
      <family val="2"/>
      <charset val="204"/>
    </font>
    <font>
      <sz val="12"/>
      <name val="Arial"/>
      <family val="2"/>
      <charset val="204"/>
    </font>
    <font>
      <u/>
      <sz val="12"/>
      <color rgb="FF0000FF"/>
      <name val="Arial"/>
      <family val="2"/>
      <charset val="204"/>
    </font>
    <font>
      <i/>
      <sz val="1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9"/>
      <name val="Calibri"/>
      <family val="2"/>
      <charset val="204"/>
    </font>
    <font>
      <b/>
      <sz val="14"/>
      <color rgb="FFFF0000"/>
      <name val="Calibri"/>
      <family val="2"/>
      <charset val="204"/>
    </font>
    <font>
      <u/>
      <sz val="12"/>
      <color rgb="FF1155CC"/>
      <name val="Calibri"/>
      <family val="2"/>
      <charset val="204"/>
    </font>
    <font>
      <b/>
      <u/>
      <sz val="8"/>
      <color rgb="FF1155CC"/>
      <name val="Calibri"/>
      <family val="2"/>
      <charset val="204"/>
    </font>
    <font>
      <b/>
      <u/>
      <sz val="8"/>
      <color rgb="FF1155CC"/>
      <name val="Calibri"/>
      <family val="2"/>
      <charset val="204"/>
    </font>
    <font>
      <u/>
      <sz val="12"/>
      <color rgb="FF0000FF"/>
      <name val="Calibri"/>
      <family val="2"/>
      <charset val="204"/>
    </font>
    <font>
      <b/>
      <sz val="8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2"/>
      <name val="Calibri"/>
      <family val="2"/>
      <charset val="204"/>
    </font>
    <font>
      <u/>
      <sz val="12"/>
      <color rgb="FF0000FF"/>
      <name val="Calibri"/>
      <family val="2"/>
      <charset val="204"/>
    </font>
    <font>
      <u/>
      <sz val="8"/>
      <color rgb="FF0000FF"/>
      <name val="Calibri"/>
      <family val="2"/>
      <charset val="204"/>
    </font>
    <font>
      <sz val="8"/>
      <name val="Calibri"/>
      <family val="2"/>
      <charset val="204"/>
    </font>
    <font>
      <u/>
      <sz val="12"/>
      <color rgb="FF0000FF"/>
      <name val="Calibri"/>
      <family val="2"/>
      <charset val="204"/>
    </font>
    <font>
      <u/>
      <sz val="8"/>
      <color rgb="FF0000FF"/>
      <name val="Calibri"/>
      <family val="2"/>
      <charset val="204"/>
    </font>
    <font>
      <sz val="10"/>
      <color rgb="FF000000"/>
      <name val="Arial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3" fillId="0" borderId="0" applyFont="0" applyFill="0" applyBorder="0" applyAlignment="0" applyProtection="0"/>
  </cellStyleXfs>
  <cellXfs count="10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5" fillId="2" borderId="0" xfId="0" applyFont="1" applyFill="1" applyAlignment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0" xfId="0" applyFont="1" applyFill="1" applyAlignment="1"/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1" fontId="1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" fillId="0" borderId="0" xfId="0" applyFont="1" applyAlignment="1"/>
    <xf numFmtId="0" fontId="17" fillId="0" borderId="0" xfId="0" applyFont="1"/>
    <xf numFmtId="11" fontId="1" fillId="0" borderId="0" xfId="0" applyNumberFormat="1" applyFont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49" fontId="21" fillId="5" borderId="4" xfId="0" applyNumberFormat="1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left" vertical="center"/>
    </xf>
    <xf numFmtId="0" fontId="32" fillId="6" borderId="2" xfId="0" applyFont="1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left" vertical="center"/>
    </xf>
    <xf numFmtId="0" fontId="35" fillId="6" borderId="2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28" fillId="6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49" fontId="25" fillId="2" borderId="4" xfId="0" applyNumberFormat="1" applyFont="1" applyFill="1" applyBorder="1" applyAlignment="1">
      <alignment horizontal="center" vertical="center"/>
    </xf>
    <xf numFmtId="49" fontId="21" fillId="2" borderId="4" xfId="0" applyNumberFormat="1" applyFont="1" applyFill="1" applyBorder="1" applyAlignment="1">
      <alignment horizontal="center" vertical="center"/>
    </xf>
    <xf numFmtId="164" fontId="27" fillId="3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top" wrapText="1"/>
    </xf>
    <xf numFmtId="0" fontId="38" fillId="2" borderId="4" xfId="0" applyFont="1" applyFill="1" applyBorder="1" applyAlignment="1">
      <alignment horizontal="left" vertical="top" wrapText="1"/>
    </xf>
    <xf numFmtId="0" fontId="39" fillId="2" borderId="4" xfId="0" applyFont="1" applyFill="1" applyBorder="1" applyAlignment="1">
      <alignment horizontal="left" vertical="top" wrapText="1"/>
    </xf>
    <xf numFmtId="164" fontId="24" fillId="3" borderId="4" xfId="0" applyNumberFormat="1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center" vertical="center"/>
    </xf>
    <xf numFmtId="49" fontId="21" fillId="3" borderId="4" xfId="0" applyNumberFormat="1" applyFont="1" applyFill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/>
    </xf>
    <xf numFmtId="49" fontId="21" fillId="3" borderId="4" xfId="0" applyNumberFormat="1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left" vertical="top" wrapText="1"/>
    </xf>
    <xf numFmtId="0" fontId="41" fillId="3" borderId="4" xfId="0" applyFont="1" applyFill="1" applyBorder="1" applyAlignment="1">
      <alignment horizontal="left" vertical="top" wrapText="1"/>
    </xf>
    <xf numFmtId="0" fontId="28" fillId="6" borderId="2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left" vertical="center" wrapText="1"/>
    </xf>
    <xf numFmtId="49" fontId="25" fillId="5" borderId="4" xfId="0" applyNumberFormat="1" applyFont="1" applyFill="1" applyBorder="1" applyAlignment="1">
      <alignment horizontal="center" vertical="center"/>
    </xf>
    <xf numFmtId="49" fontId="21" fillId="5" borderId="4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9" fontId="21" fillId="4" borderId="4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horizontal="left" vertical="top" wrapText="1"/>
    </xf>
    <xf numFmtId="49" fontId="25" fillId="4" borderId="4" xfId="0" applyNumberFormat="1" applyFont="1" applyFill="1" applyBorder="1" applyAlignment="1">
      <alignment horizontal="center" vertical="center"/>
    </xf>
    <xf numFmtId="49" fontId="21" fillId="4" borderId="4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0" xfId="0" applyFont="1" applyFill="1" applyAlignment="1">
      <alignment horizontal="center" vertical="center"/>
    </xf>
    <xf numFmtId="0" fontId="0" fillId="0" borderId="0" xfId="0" applyFont="1" applyAlignment="1"/>
    <xf numFmtId="0" fontId="5" fillId="2" borderId="0" xfId="0" applyFont="1" applyFill="1" applyAlignment="1"/>
    <xf numFmtId="0" fontId="7" fillId="0" borderId="0" xfId="0" applyFont="1" applyAlignment="1">
      <alignment horizontal="center" vertical="center" wrapText="1"/>
    </xf>
    <xf numFmtId="0" fontId="9" fillId="2" borderId="0" xfId="0" applyFont="1" applyFill="1" applyAlignme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 wrapText="1"/>
    </xf>
    <xf numFmtId="0" fontId="0" fillId="0" borderId="0" xfId="0"/>
    <xf numFmtId="49" fontId="30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49" fontId="22" fillId="2" borderId="2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49" fontId="22" fillId="2" borderId="3" xfId="0" applyNumberFormat="1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 shrinkToFit="1"/>
    </xf>
    <xf numFmtId="0" fontId="0" fillId="0" borderId="5" xfId="0" applyFont="1" applyBorder="1" applyAlignment="1">
      <alignment horizontal="center" vertical="center" wrapText="1" shrinkToFit="1"/>
    </xf>
    <xf numFmtId="164" fontId="20" fillId="3" borderId="4" xfId="0" applyNumberFormat="1" applyFont="1" applyFill="1" applyBorder="1" applyAlignment="1">
      <alignment horizontal="center" vertical="center"/>
    </xf>
    <xf numFmtId="0" fontId="44" fillId="7" borderId="4" xfId="0" applyFont="1" applyFill="1" applyBorder="1" applyAlignment="1">
      <alignment horizontal="center" vertical="center" wrapText="1" shrinkToFit="1"/>
    </xf>
    <xf numFmtId="0" fontId="45" fillId="8" borderId="4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 shrinkToFit="1"/>
    </xf>
    <xf numFmtId="0" fontId="44" fillId="8" borderId="4" xfId="0" applyFont="1" applyFill="1" applyBorder="1" applyAlignment="1">
      <alignment horizontal="center" vertical="center" wrapText="1" shrinkToFit="1"/>
    </xf>
    <xf numFmtId="173" fontId="22" fillId="9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174" fontId="1" fillId="0" borderId="4" xfId="0" applyNumberFormat="1" applyFont="1" applyBorder="1" applyAlignment="1">
      <alignment horizontal="center" vertical="center" wrapText="1" shrinkToFit="1"/>
    </xf>
    <xf numFmtId="174" fontId="45" fillId="8" borderId="4" xfId="1" applyNumberFormat="1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0" xfId="0" applyFont="1" applyFill="1" applyAlignment="1"/>
  </cellXfs>
  <cellStyles count="2">
    <cellStyle name="Обычный" xfId="0" builtinId="0"/>
    <cellStyle name="Финансовый" xfId="1" builtinId="3"/>
  </cellStyles>
  <dxfs count="1">
    <dxf>
      <fill>
        <patternFill patternType="solid">
          <fgColor rgb="FFCCFFFF"/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952500</xdr:colOff>
      <xdr:row>0</xdr:row>
      <xdr:rowOff>0</xdr:rowOff>
    </xdr:from>
    <xdr:ext cx="5391150" cy="4410075"/>
    <xdr:pic>
      <xdr:nvPicPr>
        <xdr:cNvPr id="2" name="image2.jp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57150</xdr:rowOff>
    </xdr:from>
    <xdr:ext cx="1847850" cy="866775"/>
    <xdr:pic>
      <xdr:nvPicPr>
        <xdr:cNvPr id="3" name="image1.jpg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pronto.by/" TargetMode="External"/><Relationship Id="rId1" Type="http://schemas.openxmlformats.org/officeDocument/2006/relationships/hyperlink" Target="http://www.prontoair.by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youtube.com/watch?v=clXyK6e-MJk" TargetMode="External"/><Relationship Id="rId117" Type="http://schemas.openxmlformats.org/officeDocument/2006/relationships/hyperlink" Target="https://catalog.onliner.by/ledstrip/neonnight/smd816131115" TargetMode="External"/><Relationship Id="rId21" Type="http://schemas.openxmlformats.org/officeDocument/2006/relationships/hyperlink" Target="https://catalog.onliner.by/christmasdecor/neonnight/513058" TargetMode="External"/><Relationship Id="rId42" Type="http://schemas.openxmlformats.org/officeDocument/2006/relationships/hyperlink" Target="https://www.youtube.com/watch?v=w5R8GDgIhMg" TargetMode="External"/><Relationship Id="rId47" Type="http://schemas.openxmlformats.org/officeDocument/2006/relationships/hyperlink" Target="https://catalog.onliner.by/christmasdecor/neonnight/501057501057" TargetMode="External"/><Relationship Id="rId63" Type="http://schemas.openxmlformats.org/officeDocument/2006/relationships/hyperlink" Target="https://www.youtube.com/watch?v=Al15RHFigBo" TargetMode="External"/><Relationship Id="rId68" Type="http://schemas.openxmlformats.org/officeDocument/2006/relationships/hyperlink" Target="https://www.youtube.com/watch?v=YmSCmO_UKS4" TargetMode="External"/><Relationship Id="rId84" Type="http://schemas.openxmlformats.org/officeDocument/2006/relationships/hyperlink" Target="https://www.youtube.com/watch?v=V9rkNG240cw" TargetMode="External"/><Relationship Id="rId89" Type="http://schemas.openxmlformats.org/officeDocument/2006/relationships/hyperlink" Target="https://www.youtube.com/watch?v=JY_Ka862giA" TargetMode="External"/><Relationship Id="rId112" Type="http://schemas.openxmlformats.org/officeDocument/2006/relationships/hyperlink" Target="https://catalog.onliner.by/ledpowersupply/neonnight/n124221" TargetMode="External"/><Relationship Id="rId133" Type="http://schemas.openxmlformats.org/officeDocument/2006/relationships/hyperlink" Target="https://www.youtube.com/watch?v=jgzdgwwNToQ" TargetMode="External"/><Relationship Id="rId138" Type="http://schemas.openxmlformats.org/officeDocument/2006/relationships/hyperlink" Target="https://www.youtube.com/watch?v=ZFhkUGrMOJM" TargetMode="External"/><Relationship Id="rId154" Type="http://schemas.openxmlformats.org/officeDocument/2006/relationships/hyperlink" Target="https://www.youtube.com/watch?v=JbwIUZ_Ru0o" TargetMode="External"/><Relationship Id="rId159" Type="http://schemas.openxmlformats.org/officeDocument/2006/relationships/hyperlink" Target="https://www.youtube.com/watch?v=v4lVbb6SXVg" TargetMode="External"/><Relationship Id="rId175" Type="http://schemas.openxmlformats.org/officeDocument/2006/relationships/hyperlink" Target="https://catalog.onliner.by/xmaslights/neonnight/124019" TargetMode="External"/><Relationship Id="rId170" Type="http://schemas.openxmlformats.org/officeDocument/2006/relationships/hyperlink" Target="https://catalog.onliner.by/lightbulb/neonnight/405625405625" TargetMode="External"/><Relationship Id="rId16" Type="http://schemas.openxmlformats.org/officeDocument/2006/relationships/hyperlink" Target="https://catalog.onliner.by/christmasdecor/neonnight/501160501160" TargetMode="External"/><Relationship Id="rId107" Type="http://schemas.openxmlformats.org/officeDocument/2006/relationships/hyperlink" Target="https://www.youtube.com/watch?v=TT19b88ivTQ" TargetMode="External"/><Relationship Id="rId11" Type="http://schemas.openxmlformats.org/officeDocument/2006/relationships/hyperlink" Target="https://catalog.onliner.by/xmaslights/neonnight/nn303029" TargetMode="External"/><Relationship Id="rId32" Type="http://schemas.openxmlformats.org/officeDocument/2006/relationships/hyperlink" Target="https://www.youtube.com/watch?v=C8FoiyMazrk" TargetMode="External"/><Relationship Id="rId37" Type="http://schemas.openxmlformats.org/officeDocument/2006/relationships/hyperlink" Target="https://www.youtube.com/watch?v=9sBwUbTJ5y4" TargetMode="External"/><Relationship Id="rId53" Type="http://schemas.openxmlformats.org/officeDocument/2006/relationships/hyperlink" Target="https://www.youtube.com/watch?v=9-iB482bKBY" TargetMode="External"/><Relationship Id="rId58" Type="http://schemas.openxmlformats.org/officeDocument/2006/relationships/hyperlink" Target="https://www.youtube.com/watch?v=z4QoqWqR5S4" TargetMode="External"/><Relationship Id="rId74" Type="http://schemas.openxmlformats.org/officeDocument/2006/relationships/hyperlink" Target="https://catalog.onliner.by/christmasdecor/neonnight/nn501034" TargetMode="External"/><Relationship Id="rId79" Type="http://schemas.openxmlformats.org/officeDocument/2006/relationships/hyperlink" Target="https://www.youtube.com/watch?v=JY_Ka862giA" TargetMode="External"/><Relationship Id="rId102" Type="http://schemas.openxmlformats.org/officeDocument/2006/relationships/hyperlink" Target="https://catalog.onliner.by/ledstrip/neonnight/1213234" TargetMode="External"/><Relationship Id="rId123" Type="http://schemas.openxmlformats.org/officeDocument/2006/relationships/hyperlink" Target="https://www.youtube.com/watch?v=VZ-n58ag3os" TargetMode="External"/><Relationship Id="rId128" Type="http://schemas.openxmlformats.org/officeDocument/2006/relationships/hyperlink" Target="https://catalog.onliner.by/xmaslights/neonnight/255185255185" TargetMode="External"/><Relationship Id="rId144" Type="http://schemas.openxmlformats.org/officeDocument/2006/relationships/hyperlink" Target="https://catalog.onliner.by/xmaslights/neonnight/305254" TargetMode="External"/><Relationship Id="rId149" Type="http://schemas.openxmlformats.org/officeDocument/2006/relationships/hyperlink" Target="https://www.youtube.com/watch?v=HXAHbJLDqPc" TargetMode="External"/><Relationship Id="rId5" Type="http://schemas.openxmlformats.org/officeDocument/2006/relationships/hyperlink" Target="https://www.youtube.com/watch?v=jGv1BwBAEyc" TargetMode="External"/><Relationship Id="rId90" Type="http://schemas.openxmlformats.org/officeDocument/2006/relationships/hyperlink" Target="https://catalog.onliner.by/xmaslights/neonnight/neon121136" TargetMode="External"/><Relationship Id="rId95" Type="http://schemas.openxmlformats.org/officeDocument/2006/relationships/hyperlink" Target="https://catalog.onliner.by/ledstrip/neonnight/nn121322" TargetMode="External"/><Relationship Id="rId160" Type="http://schemas.openxmlformats.org/officeDocument/2006/relationships/hyperlink" Target="https://www.youtube.com/watch?v=4JBUYO0NOZU" TargetMode="External"/><Relationship Id="rId165" Type="http://schemas.openxmlformats.org/officeDocument/2006/relationships/hyperlink" Target="https://catalog.onliner.by/ledcontrol/neonnight/neon332116" TargetMode="External"/><Relationship Id="rId22" Type="http://schemas.openxmlformats.org/officeDocument/2006/relationships/hyperlink" Target="https://www.youtube.com/watch?v=617lnLX-ubg" TargetMode="External"/><Relationship Id="rId27" Type="http://schemas.openxmlformats.org/officeDocument/2006/relationships/hyperlink" Target="https://www.youtube.com/watch?v=HsJOaYeszNE" TargetMode="External"/><Relationship Id="rId43" Type="http://schemas.openxmlformats.org/officeDocument/2006/relationships/hyperlink" Target="https://www.youtube.com/watch?v=IMixxc7qZYw&amp;t=3s" TargetMode="External"/><Relationship Id="rId48" Type="http://schemas.openxmlformats.org/officeDocument/2006/relationships/hyperlink" Target="https://catalog.onliner.by/christmasdecor/neonnight/501056501056" TargetMode="External"/><Relationship Id="rId64" Type="http://schemas.openxmlformats.org/officeDocument/2006/relationships/hyperlink" Target="https://www.youtube.com/watch?v=7Kujgxlzix0" TargetMode="External"/><Relationship Id="rId69" Type="http://schemas.openxmlformats.org/officeDocument/2006/relationships/hyperlink" Target="https://www.youtube.com/watch?v=94yUpi25PNw" TargetMode="External"/><Relationship Id="rId113" Type="http://schemas.openxmlformats.org/officeDocument/2006/relationships/hyperlink" Target="https://catalog.onliner.by/xmaslights/neonnight/124113" TargetMode="External"/><Relationship Id="rId118" Type="http://schemas.openxmlformats.org/officeDocument/2006/relationships/hyperlink" Target="https://catalog.onliner.by/ledstrip/neonnight/smd816131116" TargetMode="External"/><Relationship Id="rId134" Type="http://schemas.openxmlformats.org/officeDocument/2006/relationships/hyperlink" Target="https://www.youtube.com/watch?v=EW6nuUg1-aY" TargetMode="External"/><Relationship Id="rId139" Type="http://schemas.openxmlformats.org/officeDocument/2006/relationships/hyperlink" Target="https://www.youtube.com/watch?v=7K8LKDX3-NQ" TargetMode="External"/><Relationship Id="rId80" Type="http://schemas.openxmlformats.org/officeDocument/2006/relationships/hyperlink" Target="https://www.youtube.com/watch?v=JY_Ka862giA" TargetMode="External"/><Relationship Id="rId85" Type="http://schemas.openxmlformats.org/officeDocument/2006/relationships/hyperlink" Target="https://www.youtube.com/watch?v=nNX4HMOTGNA" TargetMode="External"/><Relationship Id="rId150" Type="http://schemas.openxmlformats.org/officeDocument/2006/relationships/hyperlink" Target="https://catalog.onliner.by/xmaslights/neonnight/3035094" TargetMode="External"/><Relationship Id="rId155" Type="http://schemas.openxmlformats.org/officeDocument/2006/relationships/hyperlink" Target="https://www.youtube.com/watch?v=poKjVPryne8" TargetMode="External"/><Relationship Id="rId171" Type="http://schemas.openxmlformats.org/officeDocument/2006/relationships/hyperlink" Target="https://catalog.onliner.by/xmaslights/neonnight/501615" TargetMode="External"/><Relationship Id="rId176" Type="http://schemas.openxmlformats.org/officeDocument/2006/relationships/hyperlink" Target="https://catalog.onliner.by/ledcontrol/neonnight/neon245908" TargetMode="External"/><Relationship Id="rId12" Type="http://schemas.openxmlformats.org/officeDocument/2006/relationships/hyperlink" Target="https://catalog.onliner.by/xmaslights/neonnight/nn303046" TargetMode="External"/><Relationship Id="rId17" Type="http://schemas.openxmlformats.org/officeDocument/2006/relationships/hyperlink" Target="https://catalog.onliner.by/christmasdecor/neonnight/501187" TargetMode="External"/><Relationship Id="rId33" Type="http://schemas.openxmlformats.org/officeDocument/2006/relationships/hyperlink" Target="https://catalog.onliner.by/christmasdecor/neonnight/511029" TargetMode="External"/><Relationship Id="rId38" Type="http://schemas.openxmlformats.org/officeDocument/2006/relationships/hyperlink" Target="https://www.youtube.com/watch?v=5yuXMkoFvuM" TargetMode="External"/><Relationship Id="rId59" Type="http://schemas.openxmlformats.org/officeDocument/2006/relationships/hyperlink" Target="https://www.youtube.com/watch?v=qdxcVOFxYY0" TargetMode="External"/><Relationship Id="rId103" Type="http://schemas.openxmlformats.org/officeDocument/2006/relationships/hyperlink" Target="https://catalog.onliner.by/ledstrip/neonnight/1213264" TargetMode="External"/><Relationship Id="rId108" Type="http://schemas.openxmlformats.org/officeDocument/2006/relationships/hyperlink" Target="https://catalog.onliner.by/ledstrip/neonnight/nn121253" TargetMode="External"/><Relationship Id="rId124" Type="http://schemas.openxmlformats.org/officeDocument/2006/relationships/hyperlink" Target="https://www.youtube.com/watch?v=yEQ5o6_Nn1s" TargetMode="External"/><Relationship Id="rId129" Type="http://schemas.openxmlformats.org/officeDocument/2006/relationships/hyperlink" Target="https://catalog.onliner.by/xmaslights/neonnight/255186" TargetMode="External"/><Relationship Id="rId54" Type="http://schemas.openxmlformats.org/officeDocument/2006/relationships/hyperlink" Target="https://www.youtube.com/watch?v=Bm0jObepjIg" TargetMode="External"/><Relationship Id="rId70" Type="http://schemas.openxmlformats.org/officeDocument/2006/relationships/hyperlink" Target="https://www.youtube.com/watch?v=dzoiSrY1AJg" TargetMode="External"/><Relationship Id="rId75" Type="http://schemas.openxmlformats.org/officeDocument/2006/relationships/hyperlink" Target="https://www.youtube.com/watch?v=JY_Ka862giA" TargetMode="External"/><Relationship Id="rId91" Type="http://schemas.openxmlformats.org/officeDocument/2006/relationships/hyperlink" Target="https://catalog.onliner.by/ledstrip/neonnight/nn121325" TargetMode="External"/><Relationship Id="rId96" Type="http://schemas.openxmlformats.org/officeDocument/2006/relationships/hyperlink" Target="https://catalog.onliner.by/ledstrip/neonnight/nn1213296" TargetMode="External"/><Relationship Id="rId140" Type="http://schemas.openxmlformats.org/officeDocument/2006/relationships/hyperlink" Target="https://www.youtube.com/watch?v=bInKLNuoL_o" TargetMode="External"/><Relationship Id="rId145" Type="http://schemas.openxmlformats.org/officeDocument/2006/relationships/hyperlink" Target="https://catalog.onliner.by/xmaslights/neonnight/305386305386" TargetMode="External"/><Relationship Id="rId161" Type="http://schemas.openxmlformats.org/officeDocument/2006/relationships/hyperlink" Target="https://catalog.onliner.by/xmaslights/neonnight/256427" TargetMode="External"/><Relationship Id="rId166" Type="http://schemas.openxmlformats.org/officeDocument/2006/relationships/hyperlink" Target="https://catalog.onliner.by/ledcontrol/neonnight/neon332119" TargetMode="External"/><Relationship Id="rId1" Type="http://schemas.openxmlformats.org/officeDocument/2006/relationships/hyperlink" Target="https://www.youtube.com/watch?v=LJkwWT9q8Hk" TargetMode="External"/><Relationship Id="rId6" Type="http://schemas.openxmlformats.org/officeDocument/2006/relationships/hyperlink" Target="https://www.youtube.com/watch?v=PQjTls-h_Hc" TargetMode="External"/><Relationship Id="rId23" Type="http://schemas.openxmlformats.org/officeDocument/2006/relationships/hyperlink" Target="https://www.youtube.com/watch?v=yMZW2cpN0Wk" TargetMode="External"/><Relationship Id="rId28" Type="http://schemas.openxmlformats.org/officeDocument/2006/relationships/hyperlink" Target="https://www.youtube.com/watch?v=Efu7_o2ehQc" TargetMode="External"/><Relationship Id="rId49" Type="http://schemas.openxmlformats.org/officeDocument/2006/relationships/hyperlink" Target="https://catalog.onliner.by/xmaslights/neonnight/513706513706" TargetMode="External"/><Relationship Id="rId114" Type="http://schemas.openxmlformats.org/officeDocument/2006/relationships/hyperlink" Target="https://catalog.onliner.by/ledcontrol/neonnight/neon123013" TargetMode="External"/><Relationship Id="rId119" Type="http://schemas.openxmlformats.org/officeDocument/2006/relationships/hyperlink" Target="https://www.youtube.com/watch?v=waqnSAqigPY" TargetMode="External"/><Relationship Id="rId10" Type="http://schemas.openxmlformats.org/officeDocument/2006/relationships/hyperlink" Target="https://catalog.onliner.by/xmaslights/neonnight/nn303019" TargetMode="External"/><Relationship Id="rId31" Type="http://schemas.openxmlformats.org/officeDocument/2006/relationships/hyperlink" Target="https://www.youtube.com/watch?v=-vyCWBo6Ptk" TargetMode="External"/><Relationship Id="rId44" Type="http://schemas.openxmlformats.org/officeDocument/2006/relationships/hyperlink" Target="https://www.youtube.com/watch?v=Sg4Y8CZ_Kdg&amp;t=5s" TargetMode="External"/><Relationship Id="rId52" Type="http://schemas.openxmlformats.org/officeDocument/2006/relationships/hyperlink" Target="https://www.youtube.com/watch?v=3RDDH4RQvbY" TargetMode="External"/><Relationship Id="rId60" Type="http://schemas.openxmlformats.org/officeDocument/2006/relationships/hyperlink" Target="https://www.youtube.com/watch?v=qfRRzN1pz5A" TargetMode="External"/><Relationship Id="rId65" Type="http://schemas.openxmlformats.org/officeDocument/2006/relationships/hyperlink" Target="https://www.youtube.com/watch?v=YyTZeqKH1CE" TargetMode="External"/><Relationship Id="rId73" Type="http://schemas.openxmlformats.org/officeDocument/2006/relationships/hyperlink" Target="https://www.youtube.com/watch?v=poEmd-AhPxU" TargetMode="External"/><Relationship Id="rId78" Type="http://schemas.openxmlformats.org/officeDocument/2006/relationships/hyperlink" Target="https://www.youtube.com/watch?v=JY_Ka862giA" TargetMode="External"/><Relationship Id="rId81" Type="http://schemas.openxmlformats.org/officeDocument/2006/relationships/hyperlink" Target="https://www.youtube.com/watch?v=JY_Ka862giA" TargetMode="External"/><Relationship Id="rId86" Type="http://schemas.openxmlformats.org/officeDocument/2006/relationships/hyperlink" Target="https://catalog.onliner.by/ledstrip/neonnight/nn131003" TargetMode="External"/><Relationship Id="rId94" Type="http://schemas.openxmlformats.org/officeDocument/2006/relationships/hyperlink" Target="https://catalog.onliner.by/ledstrip/neonnight/nn121324" TargetMode="External"/><Relationship Id="rId99" Type="http://schemas.openxmlformats.org/officeDocument/2006/relationships/hyperlink" Target="https://catalog.onliner.by/ledstrip/neonnight/1213294" TargetMode="External"/><Relationship Id="rId101" Type="http://schemas.openxmlformats.org/officeDocument/2006/relationships/hyperlink" Target="https://catalog.onliner.by/ledstrip/neonnight/nn121323" TargetMode="External"/><Relationship Id="rId122" Type="http://schemas.openxmlformats.org/officeDocument/2006/relationships/hyperlink" Target="https://www.youtube.com/watch?v=81tP9HgABC8" TargetMode="External"/><Relationship Id="rId130" Type="http://schemas.openxmlformats.org/officeDocument/2006/relationships/hyperlink" Target="https://catalog.onliner.by/xmaslights/neonnight/255456" TargetMode="External"/><Relationship Id="rId135" Type="http://schemas.openxmlformats.org/officeDocument/2006/relationships/hyperlink" Target="https://www.youtube.com/watch?v=7pVNe9u3deQ" TargetMode="External"/><Relationship Id="rId143" Type="http://schemas.openxmlformats.org/officeDocument/2006/relationships/hyperlink" Target="https://catalog.onliner.by/xmaslights/neonnight/531312531312" TargetMode="External"/><Relationship Id="rId148" Type="http://schemas.openxmlformats.org/officeDocument/2006/relationships/hyperlink" Target="https://catalog.onliner.by/xmaslights/neonnight/315173315173" TargetMode="External"/><Relationship Id="rId151" Type="http://schemas.openxmlformats.org/officeDocument/2006/relationships/hyperlink" Target="https://www.youtube.com/watch?v=QIGq1aWRqsc" TargetMode="External"/><Relationship Id="rId156" Type="http://schemas.openxmlformats.org/officeDocument/2006/relationships/hyperlink" Target="https://catalog.onliner.by/xmaslights/neonnight/nn323313" TargetMode="External"/><Relationship Id="rId164" Type="http://schemas.openxmlformats.org/officeDocument/2006/relationships/hyperlink" Target="https://catalog.onliner.by/ledcontrol/neonnight/neon332118" TargetMode="External"/><Relationship Id="rId169" Type="http://schemas.openxmlformats.org/officeDocument/2006/relationships/hyperlink" Target="https://www.youtube.com/watch?v=vqnw-JMwPGw" TargetMode="External"/><Relationship Id="rId177" Type="http://schemas.openxmlformats.org/officeDocument/2006/relationships/hyperlink" Target="https://catalog.onliner.by/ledcontrol/neonnight/neon217204" TargetMode="External"/><Relationship Id="rId4" Type="http://schemas.openxmlformats.org/officeDocument/2006/relationships/hyperlink" Target="https://www.youtube.com/watch?v=w8L2FLkqyEA" TargetMode="External"/><Relationship Id="rId9" Type="http://schemas.openxmlformats.org/officeDocument/2006/relationships/hyperlink" Target="https://catalog.onliner.by/xmaslights/neonnight/nn303169" TargetMode="External"/><Relationship Id="rId172" Type="http://schemas.openxmlformats.org/officeDocument/2006/relationships/hyperlink" Target="https://catalog.onliner.by/xmaslights/neonnight/501616" TargetMode="External"/><Relationship Id="rId13" Type="http://schemas.openxmlformats.org/officeDocument/2006/relationships/hyperlink" Target="https://catalog.onliner.by/xmaslights/neonnight/nn303199" TargetMode="External"/><Relationship Id="rId18" Type="http://schemas.openxmlformats.org/officeDocument/2006/relationships/hyperlink" Target="https://catalog.onliner.by/christmasdecor/neonnight/501182" TargetMode="External"/><Relationship Id="rId39" Type="http://schemas.openxmlformats.org/officeDocument/2006/relationships/hyperlink" Target="https://www.youtube.com/watch?v=zS7-mvGEu8c" TargetMode="External"/><Relationship Id="rId109" Type="http://schemas.openxmlformats.org/officeDocument/2006/relationships/hyperlink" Target="https://catalog.onliner.by/ledstrip/neonnight/121256" TargetMode="External"/><Relationship Id="rId34" Type="http://schemas.openxmlformats.org/officeDocument/2006/relationships/hyperlink" Target="https://catalog.onliner.by/christmasdecor/neonnight/511024" TargetMode="External"/><Relationship Id="rId50" Type="http://schemas.openxmlformats.org/officeDocument/2006/relationships/hyperlink" Target="https://catalog.onliner.by/christmasdecor/neonnight/513027513027" TargetMode="External"/><Relationship Id="rId55" Type="http://schemas.openxmlformats.org/officeDocument/2006/relationships/hyperlink" Target="https://www.youtube.com/watch?v=HWHcMRrCqTI" TargetMode="External"/><Relationship Id="rId76" Type="http://schemas.openxmlformats.org/officeDocument/2006/relationships/hyperlink" Target="https://www.youtube.com/watch?v=JY_Ka862giA" TargetMode="External"/><Relationship Id="rId97" Type="http://schemas.openxmlformats.org/officeDocument/2006/relationships/hyperlink" Target="https://www.youtube.com/watch?v=LovaCaDhysU" TargetMode="External"/><Relationship Id="rId104" Type="http://schemas.openxmlformats.org/officeDocument/2006/relationships/hyperlink" Target="https://www.youtube.com/watch?v=M8mb4n11bw0" TargetMode="External"/><Relationship Id="rId120" Type="http://schemas.openxmlformats.org/officeDocument/2006/relationships/hyperlink" Target="https://www.youtube.com/watch?v=7T3WcSG5CAw" TargetMode="External"/><Relationship Id="rId125" Type="http://schemas.openxmlformats.org/officeDocument/2006/relationships/hyperlink" Target="https://www.youtube.com/watch?v=LSlA82e8iKc" TargetMode="External"/><Relationship Id="rId141" Type="http://schemas.openxmlformats.org/officeDocument/2006/relationships/hyperlink" Target="https://www.youtube.com/watch?v=5BFyMU52sOA" TargetMode="External"/><Relationship Id="rId146" Type="http://schemas.openxmlformats.org/officeDocument/2006/relationships/hyperlink" Target="https://catalog.onliner.by/xmaslights/neonnight/305395305395" TargetMode="External"/><Relationship Id="rId167" Type="http://schemas.openxmlformats.org/officeDocument/2006/relationships/hyperlink" Target="https://catalog.onliner.by/ledcontrol/neonnight/332120nn" TargetMode="External"/><Relationship Id="rId7" Type="http://schemas.openxmlformats.org/officeDocument/2006/relationships/hyperlink" Target="https://www.youtube.com/watch?v=0hQ8NjiJq_g" TargetMode="External"/><Relationship Id="rId71" Type="http://schemas.openxmlformats.org/officeDocument/2006/relationships/hyperlink" Target="https://www.youtube.com/watch?v=UsHmFlx0Bss" TargetMode="External"/><Relationship Id="rId92" Type="http://schemas.openxmlformats.org/officeDocument/2006/relationships/hyperlink" Target="https://catalog.onliner.by/ledstrip/neonnight/1213254" TargetMode="External"/><Relationship Id="rId162" Type="http://schemas.openxmlformats.org/officeDocument/2006/relationships/hyperlink" Target="https://catalog.onliner.by/xmaslights/neonnight/256423" TargetMode="External"/><Relationship Id="rId2" Type="http://schemas.openxmlformats.org/officeDocument/2006/relationships/hyperlink" Target="https://www.youtube.com/watch?v=0Hr23xwOa7k" TargetMode="External"/><Relationship Id="rId29" Type="http://schemas.openxmlformats.org/officeDocument/2006/relationships/hyperlink" Target="https://www.youtube.com/watch?v=0JcFj0rv83s" TargetMode="External"/><Relationship Id="rId24" Type="http://schemas.openxmlformats.org/officeDocument/2006/relationships/hyperlink" Target="https://www.youtube.com/watch?v=lb2G90a2WEw" TargetMode="External"/><Relationship Id="rId40" Type="http://schemas.openxmlformats.org/officeDocument/2006/relationships/hyperlink" Target="https://www.youtube.com/watch?v=6pUSE445EDY" TargetMode="External"/><Relationship Id="rId45" Type="http://schemas.openxmlformats.org/officeDocument/2006/relationships/hyperlink" Target="https://www.youtube.com/watch?v=7JYxJC9Dyqw&amp;t=5s" TargetMode="External"/><Relationship Id="rId66" Type="http://schemas.openxmlformats.org/officeDocument/2006/relationships/hyperlink" Target="https://www.youtube.com/watch?v=sqz4dBqxF6I" TargetMode="External"/><Relationship Id="rId87" Type="http://schemas.openxmlformats.org/officeDocument/2006/relationships/hyperlink" Target="https://catalog.onliner.by/ledstrip/neonnight/nn131004" TargetMode="External"/><Relationship Id="rId110" Type="http://schemas.openxmlformats.org/officeDocument/2006/relationships/hyperlink" Target="https://catalog.onliner.by/ledpowersupply/neonnight/124311" TargetMode="External"/><Relationship Id="rId115" Type="http://schemas.openxmlformats.org/officeDocument/2006/relationships/hyperlink" Target="https://catalog.onliner.by/ledcontrol/neonnight/neon123034" TargetMode="External"/><Relationship Id="rId131" Type="http://schemas.openxmlformats.org/officeDocument/2006/relationships/hyperlink" Target="https://catalog.onliner.by/xmaslights/neonnight/255466" TargetMode="External"/><Relationship Id="rId136" Type="http://schemas.openxmlformats.org/officeDocument/2006/relationships/hyperlink" Target="https://www.youtube.com/watch?v=c8O8-f_bIj8" TargetMode="External"/><Relationship Id="rId157" Type="http://schemas.openxmlformats.org/officeDocument/2006/relationships/hyperlink" Target="https://www.youtube.com/watch?v=GiY2nM1CRRc" TargetMode="External"/><Relationship Id="rId178" Type="http://schemas.openxmlformats.org/officeDocument/2006/relationships/printerSettings" Target="../printerSettings/printerSettings1.bin"/><Relationship Id="rId61" Type="http://schemas.openxmlformats.org/officeDocument/2006/relationships/hyperlink" Target="https://www.youtube.com/watch?v=Q9u2B2EKLpk" TargetMode="External"/><Relationship Id="rId82" Type="http://schemas.openxmlformats.org/officeDocument/2006/relationships/hyperlink" Target="https://www.youtube.com/watch?v=JY_Ka862giA" TargetMode="External"/><Relationship Id="rId152" Type="http://schemas.openxmlformats.org/officeDocument/2006/relationships/hyperlink" Target="https://www.youtube.com/watch?v=5ay4GaZkNoc" TargetMode="External"/><Relationship Id="rId173" Type="http://schemas.openxmlformats.org/officeDocument/2006/relationships/hyperlink" Target="https://catalog.onliner.by/christmasdecor/neonnight/nn514272" TargetMode="External"/><Relationship Id="rId19" Type="http://schemas.openxmlformats.org/officeDocument/2006/relationships/hyperlink" Target="https://catalog.onliner.by/christmasdecor/neonnight/501185" TargetMode="External"/><Relationship Id="rId14" Type="http://schemas.openxmlformats.org/officeDocument/2006/relationships/hyperlink" Target="https://catalog.onliner.by/xmaslights/neonnight/nn303549" TargetMode="External"/><Relationship Id="rId30" Type="http://schemas.openxmlformats.org/officeDocument/2006/relationships/hyperlink" Target="https://catalog.onliner.by/christmasdecor/neonnight/513071" TargetMode="External"/><Relationship Id="rId35" Type="http://schemas.openxmlformats.org/officeDocument/2006/relationships/hyperlink" Target="https://catalog.onliner.by/christmasdecor/neonnight/511002511002" TargetMode="External"/><Relationship Id="rId56" Type="http://schemas.openxmlformats.org/officeDocument/2006/relationships/hyperlink" Target="https://catalog.onliner.by/xmaslights/neonnight/601526601526" TargetMode="External"/><Relationship Id="rId77" Type="http://schemas.openxmlformats.org/officeDocument/2006/relationships/hyperlink" Target="https://www.youtube.com/watch?v=JY_Ka862giA" TargetMode="External"/><Relationship Id="rId100" Type="http://schemas.openxmlformats.org/officeDocument/2006/relationships/hyperlink" Target="https://www.youtube.com/watch?v=T_oQGapnQP4" TargetMode="External"/><Relationship Id="rId105" Type="http://schemas.openxmlformats.org/officeDocument/2006/relationships/hyperlink" Target="https://catalog.onliner.by/ledstrip/neonnight/nn121255" TargetMode="External"/><Relationship Id="rId126" Type="http://schemas.openxmlformats.org/officeDocument/2006/relationships/hyperlink" Target="https://catalog.onliner.by/xmaslights/neonnight/235696235696" TargetMode="External"/><Relationship Id="rId147" Type="http://schemas.openxmlformats.org/officeDocument/2006/relationships/hyperlink" Target="https://catalog.onliner.by/xmaslights/neonnight/305396305396" TargetMode="External"/><Relationship Id="rId168" Type="http://schemas.openxmlformats.org/officeDocument/2006/relationships/hyperlink" Target="https://catalog.onliner.by/ledcontrol/neonnight/neon332115" TargetMode="External"/><Relationship Id="rId8" Type="http://schemas.openxmlformats.org/officeDocument/2006/relationships/hyperlink" Target="https://catalog.onliner.by/xmaslights/neonnight/neon255019" TargetMode="External"/><Relationship Id="rId51" Type="http://schemas.openxmlformats.org/officeDocument/2006/relationships/hyperlink" Target="https://www.youtube.com/watch?v=CLNiICrbUUw" TargetMode="External"/><Relationship Id="rId72" Type="http://schemas.openxmlformats.org/officeDocument/2006/relationships/hyperlink" Target="https://www.youtube.com/watch?v=Q06wKjKyZi4" TargetMode="External"/><Relationship Id="rId93" Type="http://schemas.openxmlformats.org/officeDocument/2006/relationships/hyperlink" Target="https://www.youtube.com/watch?v=nrEFnkGSTsA" TargetMode="External"/><Relationship Id="rId98" Type="http://schemas.openxmlformats.org/officeDocument/2006/relationships/hyperlink" Target="https://catalog.onliner.by/ledstrip/neonnight/nn121329" TargetMode="External"/><Relationship Id="rId121" Type="http://schemas.openxmlformats.org/officeDocument/2006/relationships/hyperlink" Target="https://www.youtube.com/watch?v=4SZ9EFQFMN8" TargetMode="External"/><Relationship Id="rId142" Type="http://schemas.openxmlformats.org/officeDocument/2006/relationships/hyperlink" Target="https://catalog.onliner.by/xmaslights/neonnight/531311531311" TargetMode="External"/><Relationship Id="rId163" Type="http://schemas.openxmlformats.org/officeDocument/2006/relationships/hyperlink" Target="https://www.youtube.com/watch?v=ncAr7PD9cEc" TargetMode="External"/><Relationship Id="rId3" Type="http://schemas.openxmlformats.org/officeDocument/2006/relationships/hyperlink" Target="https://www.youtube.com/watch?v=ueq9QxiP_7A" TargetMode="External"/><Relationship Id="rId25" Type="http://schemas.openxmlformats.org/officeDocument/2006/relationships/hyperlink" Target="https://www.youtube.com/watch?v=UFzykbf6q3Q" TargetMode="External"/><Relationship Id="rId46" Type="http://schemas.openxmlformats.org/officeDocument/2006/relationships/hyperlink" Target="https://www.youtube.com/watch?v=2wD2g6xsWzg" TargetMode="External"/><Relationship Id="rId67" Type="http://schemas.openxmlformats.org/officeDocument/2006/relationships/hyperlink" Target="https://www.youtube.com/watch?v=dlvlAqVfATA" TargetMode="External"/><Relationship Id="rId116" Type="http://schemas.openxmlformats.org/officeDocument/2006/relationships/hyperlink" Target="https://catalog.onliner.by/ledcontrol/neonnight/neon123032" TargetMode="External"/><Relationship Id="rId137" Type="http://schemas.openxmlformats.org/officeDocument/2006/relationships/hyperlink" Target="https://www.youtube.com/watch?v=cOQPzn5eNp4" TargetMode="External"/><Relationship Id="rId158" Type="http://schemas.openxmlformats.org/officeDocument/2006/relationships/hyperlink" Target="https://www.youtube.com/watch?v=dvm6mkkeOvc" TargetMode="External"/><Relationship Id="rId20" Type="http://schemas.openxmlformats.org/officeDocument/2006/relationships/hyperlink" Target="https://catalog.onliner.by/christmasdecor/neonnight/501183" TargetMode="External"/><Relationship Id="rId41" Type="http://schemas.openxmlformats.org/officeDocument/2006/relationships/hyperlink" Target="https://www.youtube.com/watch?v=rUbE8OGe2b0" TargetMode="External"/><Relationship Id="rId62" Type="http://schemas.openxmlformats.org/officeDocument/2006/relationships/hyperlink" Target="https://www.youtube.com/watch?v=iu71NSn7Nas" TargetMode="External"/><Relationship Id="rId83" Type="http://schemas.openxmlformats.org/officeDocument/2006/relationships/hyperlink" Target="https://catalog.onliner.by/xmaslights/neonnight/303257303257" TargetMode="External"/><Relationship Id="rId88" Type="http://schemas.openxmlformats.org/officeDocument/2006/relationships/hyperlink" Target="https://www.youtube.com/watch?v=JY_Ka862giA" TargetMode="External"/><Relationship Id="rId111" Type="http://schemas.openxmlformats.org/officeDocument/2006/relationships/hyperlink" Target="https://catalog.onliner.by/ledpowersupply/neonnight/124321" TargetMode="External"/><Relationship Id="rId132" Type="http://schemas.openxmlformats.org/officeDocument/2006/relationships/hyperlink" Target="https://catalog.onliner.by/xmaslights/neonnight/255263" TargetMode="External"/><Relationship Id="rId153" Type="http://schemas.openxmlformats.org/officeDocument/2006/relationships/hyperlink" Target="https://www.youtube.com/watch?v=qDCfvftFL70" TargetMode="External"/><Relationship Id="rId174" Type="http://schemas.openxmlformats.org/officeDocument/2006/relationships/hyperlink" Target="https://catalog.onliner.by/christmasdecor/neonnight/nn514273" TargetMode="External"/><Relationship Id="rId15" Type="http://schemas.openxmlformats.org/officeDocument/2006/relationships/hyperlink" Target="https://catalog.onliner.by/christmasdecor/neonnight/501166" TargetMode="External"/><Relationship Id="rId36" Type="http://schemas.openxmlformats.org/officeDocument/2006/relationships/hyperlink" Target="https://www.youtube.com/watch?v=OfDozuExewQ" TargetMode="External"/><Relationship Id="rId57" Type="http://schemas.openxmlformats.org/officeDocument/2006/relationships/hyperlink" Target="https://www.youtube.com/watch?v=hqfR21i1kVQ" TargetMode="External"/><Relationship Id="rId106" Type="http://schemas.openxmlformats.org/officeDocument/2006/relationships/hyperlink" Target="https://catalog.onliner.by/ledstrip/neonnight/1212554" TargetMode="External"/><Relationship Id="rId127" Type="http://schemas.openxmlformats.org/officeDocument/2006/relationships/hyperlink" Target="https://www.youtube.com/watch?v=3_EHn6S0Wj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</sheetPr>
  <dimension ref="A1:L23"/>
  <sheetViews>
    <sheetView workbookViewId="0">
      <selection activeCell="D19" sqref="D19"/>
    </sheetView>
  </sheetViews>
  <sheetFormatPr defaultColWidth="12.6640625" defaultRowHeight="15.75" customHeight="1"/>
  <cols>
    <col min="2" max="2" width="16.88671875" customWidth="1"/>
    <col min="3" max="3" width="15.6640625" customWidth="1"/>
    <col min="4" max="4" width="13.88671875" customWidth="1"/>
    <col min="7" max="7" width="10.33203125" customWidth="1"/>
    <col min="9" max="9" width="13.6640625" customWidth="1"/>
    <col min="12" max="12" width="18.88671875" customWidth="1"/>
    <col min="14" max="14" width="15.44140625" customWidth="1"/>
  </cols>
  <sheetData>
    <row r="1" spans="1:12" ht="85.5" customHeight="1">
      <c r="C1" s="1"/>
      <c r="D1" s="66"/>
      <c r="E1" s="67"/>
      <c r="F1" s="67"/>
      <c r="G1" s="67"/>
      <c r="H1" s="68"/>
    </row>
    <row r="2" spans="1:12" ht="32.25" customHeight="1">
      <c r="A2" s="69" t="s">
        <v>0</v>
      </c>
      <c r="B2" s="70"/>
      <c r="C2" s="70"/>
      <c r="D2" s="70"/>
      <c r="E2" s="70"/>
      <c r="F2" s="70"/>
      <c r="G2" s="70"/>
      <c r="H2" s="70"/>
    </row>
    <row r="3" spans="1:12" ht="15.6">
      <c r="A3" s="71" t="s">
        <v>1</v>
      </c>
      <c r="B3" s="70"/>
      <c r="C3" s="70"/>
      <c r="D3" s="70"/>
      <c r="E3" s="3"/>
      <c r="F3" s="72"/>
      <c r="G3" s="70"/>
      <c r="H3" s="70"/>
      <c r="I3" s="4"/>
    </row>
    <row r="4" spans="1:12" ht="15.6">
      <c r="A4" s="71" t="s">
        <v>2</v>
      </c>
      <c r="B4" s="70"/>
      <c r="C4" s="70"/>
      <c r="D4" s="70"/>
      <c r="E4" s="5"/>
      <c r="F4" s="5"/>
      <c r="G4" s="5"/>
      <c r="H4" s="5"/>
    </row>
    <row r="5" spans="1:12" ht="15.6">
      <c r="A5" s="71" t="s">
        <v>3</v>
      </c>
      <c r="B5" s="70"/>
      <c r="C5" s="70"/>
      <c r="D5" s="70"/>
      <c r="E5" s="5"/>
      <c r="F5" s="5"/>
      <c r="G5" s="5"/>
      <c r="H5" s="5"/>
    </row>
    <row r="6" spans="1:12" ht="15.6">
      <c r="A6" s="73" t="s">
        <v>4</v>
      </c>
      <c r="B6" s="70"/>
      <c r="C6" s="70"/>
      <c r="D6" s="70"/>
      <c r="E6" s="70"/>
      <c r="F6" s="70"/>
      <c r="G6" s="70"/>
      <c r="H6" s="7"/>
    </row>
    <row r="7" spans="1:12" ht="17.399999999999999">
      <c r="A7" s="8" t="s">
        <v>5</v>
      </c>
      <c r="B7" s="2"/>
      <c r="C7" s="7"/>
      <c r="D7" s="7"/>
      <c r="E7" s="7"/>
      <c r="F7" s="7"/>
      <c r="G7" s="7"/>
      <c r="H7" s="7"/>
    </row>
    <row r="8" spans="1:12" ht="16.5" customHeight="1">
      <c r="A8" s="71" t="s">
        <v>6</v>
      </c>
      <c r="B8" s="70"/>
      <c r="C8" s="70"/>
      <c r="D8" s="70"/>
      <c r="E8" s="70"/>
      <c r="F8" s="70"/>
      <c r="G8" s="70"/>
      <c r="H8" s="7"/>
    </row>
    <row r="9" spans="1:12" ht="15.6">
      <c r="A9" s="71" t="s">
        <v>7</v>
      </c>
      <c r="B9" s="70"/>
      <c r="C9" s="7"/>
      <c r="D9" s="7"/>
      <c r="E9" s="7"/>
      <c r="F9" s="7"/>
      <c r="G9" s="7"/>
      <c r="H9" s="7"/>
    </row>
    <row r="10" spans="1:12" ht="12" customHeight="1">
      <c r="A10" s="71" t="s">
        <v>8</v>
      </c>
      <c r="B10" s="70"/>
      <c r="C10" s="70"/>
      <c r="E10" s="7"/>
      <c r="F10" s="7"/>
      <c r="G10" s="7"/>
      <c r="H10" s="7"/>
    </row>
    <row r="11" spans="1:12" ht="15.6">
      <c r="A11" s="6" t="s">
        <v>9</v>
      </c>
      <c r="E11" s="7"/>
      <c r="F11" s="7"/>
      <c r="G11" s="7"/>
    </row>
    <row r="12" spans="1:12" ht="15">
      <c r="A12" s="9" t="s">
        <v>10</v>
      </c>
      <c r="B12" s="9" t="s">
        <v>10</v>
      </c>
      <c r="C12" s="10" t="s">
        <v>10</v>
      </c>
      <c r="D12" s="9" t="s">
        <v>11</v>
      </c>
      <c r="E12" s="75" t="s">
        <v>12</v>
      </c>
      <c r="F12" s="70"/>
      <c r="G12" s="11"/>
    </row>
    <row r="13" spans="1:12" ht="39.6">
      <c r="A13" s="12" t="s">
        <v>13</v>
      </c>
      <c r="B13" s="12" t="s">
        <v>14</v>
      </c>
      <c r="C13" s="12" t="s">
        <v>15</v>
      </c>
      <c r="D13" s="12" t="s">
        <v>16</v>
      </c>
      <c r="E13" s="74"/>
      <c r="F13" s="70"/>
      <c r="G13" s="11"/>
    </row>
    <row r="14" spans="1:12" ht="33" customHeight="1">
      <c r="A14" s="13" t="s">
        <v>17</v>
      </c>
      <c r="B14" s="14" t="s">
        <v>18</v>
      </c>
      <c r="C14" s="14" t="s">
        <v>19</v>
      </c>
      <c r="D14" s="14" t="s">
        <v>20</v>
      </c>
      <c r="E14" s="76" t="s">
        <v>21</v>
      </c>
      <c r="F14" s="70"/>
    </row>
    <row r="15" spans="1:12" ht="26.4">
      <c r="A15" s="15" t="s">
        <v>22</v>
      </c>
      <c r="B15" s="15" t="s">
        <v>23</v>
      </c>
      <c r="C15" s="16" t="s">
        <v>24</v>
      </c>
      <c r="D15" s="15" t="s">
        <v>25</v>
      </c>
      <c r="E15" s="74"/>
      <c r="F15" s="70"/>
    </row>
    <row r="16" spans="1:12" ht="15">
      <c r="A16" s="12"/>
      <c r="B16" s="12"/>
      <c r="C16" s="12"/>
      <c r="D16" s="12"/>
      <c r="E16" s="74"/>
      <c r="F16" s="70"/>
      <c r="G16" s="17"/>
      <c r="H16" s="17"/>
      <c r="I16" s="17"/>
      <c r="J16" s="17"/>
      <c r="K16" s="17"/>
      <c r="L16" s="17"/>
    </row>
    <row r="19" spans="11:11" ht="17.25" customHeight="1"/>
    <row r="23" spans="11:11" ht="13.2">
      <c r="K23" s="18"/>
    </row>
  </sheetData>
  <mergeCells count="15">
    <mergeCell ref="A5:D5"/>
    <mergeCell ref="A6:G6"/>
    <mergeCell ref="E16:F16"/>
    <mergeCell ref="A8:G8"/>
    <mergeCell ref="A9:B9"/>
    <mergeCell ref="A10:C10"/>
    <mergeCell ref="E12:F12"/>
    <mergeCell ref="E13:F13"/>
    <mergeCell ref="E14:F14"/>
    <mergeCell ref="E15:F15"/>
    <mergeCell ref="D1:H1"/>
    <mergeCell ref="A2:H2"/>
    <mergeCell ref="A3:D3"/>
    <mergeCell ref="F3:H3"/>
    <mergeCell ref="A4:D4"/>
  </mergeCells>
  <hyperlinks>
    <hyperlink ref="E12" r:id="rId1"/>
    <hyperlink ref="E14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1445"/>
  <sheetViews>
    <sheetView tabSelected="1" workbookViewId="0">
      <pane xSplit="9" ySplit="2" topLeftCell="J3" activePane="bottomRight" state="frozen"/>
      <selection pane="topRight" activeCell="L1" sqref="L1"/>
      <selection pane="bottomLeft" activeCell="A3" sqref="A3"/>
      <selection pane="bottomRight" activeCell="F1449" sqref="F1449"/>
    </sheetView>
  </sheetViews>
  <sheetFormatPr defaultColWidth="12.6640625" defaultRowHeight="15.75" customHeight="1"/>
  <cols>
    <col min="1" max="1" width="10.44140625" style="102" customWidth="1"/>
    <col min="2" max="2" width="16.33203125" style="102" customWidth="1"/>
    <col min="3" max="3" width="28.21875" style="102" customWidth="1"/>
    <col min="4" max="4" width="7.6640625" style="102" customWidth="1"/>
    <col min="5" max="5" width="8.44140625" style="102" customWidth="1"/>
    <col min="6" max="6" width="13.88671875" style="102" customWidth="1"/>
    <col min="7" max="9" width="14.6640625" style="102" customWidth="1"/>
    <col min="10" max="10" width="11.6640625" style="102" customWidth="1"/>
    <col min="11" max="11" width="38.88671875" style="102" customWidth="1"/>
    <col min="12" max="12" width="14.77734375" style="102" customWidth="1"/>
    <col min="13" max="13" width="15.88671875" style="102" customWidth="1"/>
    <col min="14" max="14" width="16.44140625" style="102" customWidth="1"/>
    <col min="15" max="16384" width="12.6640625" style="102"/>
  </cols>
  <sheetData>
    <row r="1" spans="1:14" customFormat="1" ht="96" customHeight="1">
      <c r="A1" s="85" t="s">
        <v>4312</v>
      </c>
      <c r="B1" s="67"/>
      <c r="C1" s="68"/>
      <c r="D1" s="84" t="s">
        <v>4311</v>
      </c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customFormat="1" ht="48" customHeight="1">
      <c r="A2" s="90" t="s">
        <v>26</v>
      </c>
      <c r="B2" s="90" t="s">
        <v>3312</v>
      </c>
      <c r="C2" s="90" t="s">
        <v>3256</v>
      </c>
      <c r="D2" s="90" t="s">
        <v>27</v>
      </c>
      <c r="E2" s="90" t="s">
        <v>3313</v>
      </c>
      <c r="F2" s="92" t="s">
        <v>3257</v>
      </c>
      <c r="G2" s="94" t="s">
        <v>4314</v>
      </c>
      <c r="H2" s="95" t="s">
        <v>4315</v>
      </c>
      <c r="I2" s="96" t="s">
        <v>4316</v>
      </c>
      <c r="J2" s="23" t="s">
        <v>3314</v>
      </c>
      <c r="K2" s="24" t="s">
        <v>3315</v>
      </c>
      <c r="L2" s="22" t="s">
        <v>3316</v>
      </c>
      <c r="M2" s="25" t="s">
        <v>3317</v>
      </c>
      <c r="N2" s="22" t="s">
        <v>3318</v>
      </c>
    </row>
    <row r="3" spans="1:14" s="65" customFormat="1" ht="19.2" customHeight="1">
      <c r="A3" s="91"/>
      <c r="B3" s="91"/>
      <c r="C3" s="91"/>
      <c r="D3" s="91"/>
      <c r="E3" s="91"/>
      <c r="F3" s="93" t="s">
        <v>4313</v>
      </c>
      <c r="G3" s="97">
        <v>0</v>
      </c>
      <c r="H3" s="98" t="s">
        <v>4317</v>
      </c>
      <c r="I3" s="99">
        <f>SUM(I14:I1445)</f>
        <v>0</v>
      </c>
      <c r="J3" s="87"/>
      <c r="K3" s="88"/>
      <c r="L3" s="86"/>
      <c r="M3" s="86"/>
      <c r="N3" s="89"/>
    </row>
    <row r="4" spans="1:14" customFormat="1" ht="15.6">
      <c r="A4" s="77" t="s">
        <v>3319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customFormat="1" ht="15.6">
      <c r="A5" s="78" t="s">
        <v>3320</v>
      </c>
      <c r="B5" s="67"/>
      <c r="C5" s="67"/>
      <c r="D5" s="67"/>
      <c r="E5" s="67"/>
      <c r="F5" s="67"/>
      <c r="G5" s="67"/>
      <c r="H5" s="67"/>
      <c r="I5" s="67"/>
      <c r="J5" s="67"/>
      <c r="K5" s="68"/>
      <c r="L5" s="26" t="s">
        <v>3321</v>
      </c>
      <c r="M5" s="27"/>
      <c r="N5" s="28"/>
    </row>
    <row r="6" spans="1:14" customFormat="1" ht="15.6">
      <c r="A6" s="78" t="s">
        <v>3322</v>
      </c>
      <c r="B6" s="67"/>
      <c r="C6" s="67"/>
      <c r="D6" s="67"/>
      <c r="E6" s="67"/>
      <c r="F6" s="67"/>
      <c r="G6" s="67"/>
      <c r="H6" s="67"/>
      <c r="I6" s="67"/>
      <c r="J6" s="67"/>
      <c r="K6" s="68"/>
      <c r="L6" s="26" t="s">
        <v>3323</v>
      </c>
      <c r="M6" s="27"/>
      <c r="N6" s="28"/>
    </row>
    <row r="7" spans="1:14" customFormat="1" ht="15.6">
      <c r="A7" s="78" t="s">
        <v>3324</v>
      </c>
      <c r="B7" s="67"/>
      <c r="C7" s="67"/>
      <c r="D7" s="67"/>
      <c r="E7" s="67"/>
      <c r="F7" s="67"/>
      <c r="G7" s="67"/>
      <c r="H7" s="67"/>
      <c r="I7" s="67"/>
      <c r="J7" s="67"/>
      <c r="K7" s="68"/>
      <c r="L7" s="29" t="s">
        <v>3325</v>
      </c>
      <c r="M7" s="30"/>
      <c r="N7" s="31"/>
    </row>
    <row r="8" spans="1:14" customFormat="1" ht="15.6">
      <c r="A8" s="78" t="s">
        <v>3326</v>
      </c>
      <c r="B8" s="67"/>
      <c r="C8" s="67"/>
      <c r="D8" s="67"/>
      <c r="E8" s="67"/>
      <c r="F8" s="67"/>
      <c r="G8" s="67"/>
      <c r="H8" s="67"/>
      <c r="I8" s="67"/>
      <c r="J8" s="67"/>
      <c r="K8" s="68"/>
      <c r="L8" s="26" t="s">
        <v>3327</v>
      </c>
      <c r="M8" s="27"/>
      <c r="N8" s="28"/>
    </row>
    <row r="9" spans="1:14" customFormat="1" ht="15.6">
      <c r="A9" s="78" t="s">
        <v>3328</v>
      </c>
      <c r="B9" s="67"/>
      <c r="C9" s="67"/>
      <c r="D9" s="67"/>
      <c r="E9" s="67"/>
      <c r="F9" s="67"/>
      <c r="G9" s="67"/>
      <c r="H9" s="67"/>
      <c r="I9" s="67"/>
      <c r="J9" s="67"/>
      <c r="K9" s="68"/>
      <c r="L9" s="29" t="s">
        <v>3329</v>
      </c>
      <c r="M9" s="30"/>
      <c r="N9" s="31"/>
    </row>
    <row r="10" spans="1:14" customFormat="1" ht="15.6">
      <c r="A10" s="78" t="s">
        <v>3330</v>
      </c>
      <c r="B10" s="67"/>
      <c r="C10" s="67"/>
      <c r="D10" s="67"/>
      <c r="E10" s="67"/>
      <c r="F10" s="67"/>
      <c r="G10" s="67"/>
      <c r="H10" s="67"/>
      <c r="I10" s="67"/>
      <c r="J10" s="67"/>
      <c r="K10" s="68"/>
      <c r="L10" s="26" t="s">
        <v>3331</v>
      </c>
      <c r="M10" s="27"/>
      <c r="N10" s="28"/>
    </row>
    <row r="11" spans="1:14" customFormat="1" ht="15.6">
      <c r="A11" s="78" t="s">
        <v>3332</v>
      </c>
      <c r="B11" s="67"/>
      <c r="C11" s="67"/>
      <c r="D11" s="67"/>
      <c r="E11" s="67"/>
      <c r="F11" s="67"/>
      <c r="G11" s="67"/>
      <c r="H11" s="67"/>
      <c r="I11" s="67"/>
      <c r="J11" s="67"/>
      <c r="K11" s="68"/>
      <c r="L11" s="26" t="s">
        <v>3333</v>
      </c>
      <c r="M11" s="27"/>
      <c r="N11" s="28"/>
    </row>
    <row r="12" spans="1:14" customFormat="1" ht="23.4">
      <c r="A12" s="79" t="s">
        <v>3334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8"/>
    </row>
    <row r="13" spans="1:14" customFormat="1" ht="15.6">
      <c r="A13" s="80" t="s">
        <v>3335</v>
      </c>
      <c r="B13" s="67"/>
      <c r="C13" s="67"/>
      <c r="D13" s="32"/>
      <c r="E13" s="32"/>
      <c r="F13" s="32"/>
      <c r="G13" s="52"/>
      <c r="H13" s="52"/>
      <c r="I13" s="52"/>
      <c r="J13" s="32"/>
      <c r="K13" s="32"/>
      <c r="L13" s="33"/>
      <c r="M13" s="32"/>
      <c r="N13" s="34"/>
    </row>
    <row r="14" spans="1:14" customFormat="1" ht="55.2">
      <c r="A14" s="35" t="s">
        <v>32</v>
      </c>
      <c r="B14" s="19" t="s">
        <v>33</v>
      </c>
      <c r="C14" s="20" t="s">
        <v>34</v>
      </c>
      <c r="D14" s="36" t="s">
        <v>28</v>
      </c>
      <c r="E14" s="37" t="s">
        <v>3261</v>
      </c>
      <c r="F14" s="38">
        <v>33.54</v>
      </c>
      <c r="G14" s="100">
        <f>ROUND(F14-F14*G$3,2)</f>
        <v>33.54</v>
      </c>
      <c r="H14" s="101"/>
      <c r="I14" s="100">
        <f>G14*H14</f>
        <v>0</v>
      </c>
      <c r="J14" s="39" t="s">
        <v>3336</v>
      </c>
      <c r="K14" s="40" t="s">
        <v>35</v>
      </c>
      <c r="L14" s="41"/>
      <c r="M14" s="42" t="str">
        <f>HYPERLINK("https://catalog.onliner.by/xmaslights/neonnight/nn303030", "https://catalog.onliner.by/xmaslights/neonnight/nn303030")</f>
        <v>https://catalog.onliner.by/xmaslights/neonnight/nn303030</v>
      </c>
      <c r="N14" s="42" t="str">
        <f>HYPERLINK("https://pronto.by/catalog/product/303-030.html", "https://pronto.by/catalog/product/303-030.html")</f>
        <v>https://pronto.by/catalog/product/303-030.html</v>
      </c>
    </row>
    <row r="15" spans="1:14" customFormat="1" ht="55.2">
      <c r="A15" s="35" t="s">
        <v>36</v>
      </c>
      <c r="B15" s="19" t="s">
        <v>37</v>
      </c>
      <c r="C15" s="20" t="s">
        <v>34</v>
      </c>
      <c r="D15" s="36" t="s">
        <v>28</v>
      </c>
      <c r="E15" s="37" t="s">
        <v>3279</v>
      </c>
      <c r="F15" s="43">
        <v>12.540000000000001</v>
      </c>
      <c r="G15" s="100">
        <f t="shared" ref="G15:G78" si="0">ROUND(F15-F15*G$3,2)</f>
        <v>12.54</v>
      </c>
      <c r="H15" s="101"/>
      <c r="I15" s="100">
        <f>G15*H15</f>
        <v>0</v>
      </c>
      <c r="J15" s="39" t="s">
        <v>3336</v>
      </c>
      <c r="K15" s="40" t="s">
        <v>35</v>
      </c>
      <c r="L15" s="41"/>
      <c r="M15" s="42" t="str">
        <f>HYPERLINK("https://catalog.onliner.by/xmaslights/neonnight/303034", "https://catalog.onliner.by/xmaslights/neonnight/303034")</f>
        <v>https://catalog.onliner.by/xmaslights/neonnight/303034</v>
      </c>
      <c r="N15" s="42" t="str">
        <f>HYPERLINK("https://pronto.by/catalog/product/303-034.html", "https://pronto.by/catalog/product/303-034.html")</f>
        <v>https://pronto.by/catalog/product/303-034.html</v>
      </c>
    </row>
    <row r="16" spans="1:14" customFormat="1" ht="41.4">
      <c r="A16" s="35" t="s">
        <v>38</v>
      </c>
      <c r="B16" s="19" t="s">
        <v>39</v>
      </c>
      <c r="C16" s="20" t="s">
        <v>40</v>
      </c>
      <c r="D16" s="36" t="s">
        <v>28</v>
      </c>
      <c r="E16" s="37" t="s">
        <v>3277</v>
      </c>
      <c r="F16" s="43">
        <v>16.740000000000002</v>
      </c>
      <c r="G16" s="100">
        <f t="shared" si="0"/>
        <v>16.739999999999998</v>
      </c>
      <c r="H16" s="101"/>
      <c r="I16" s="100">
        <f>G16*H16</f>
        <v>0</v>
      </c>
      <c r="J16" s="39" t="s">
        <v>3336</v>
      </c>
      <c r="K16" s="40" t="s">
        <v>41</v>
      </c>
      <c r="L16" s="41"/>
      <c r="M16" s="42" t="str">
        <f>HYPERLINK("https://catalog.onliner.by/xmaslights/neonnight/303035", "https://catalog.onliner.by/xmaslights/neonnight/303035")</f>
        <v>https://catalog.onliner.by/xmaslights/neonnight/303035</v>
      </c>
      <c r="N16" s="42" t="str">
        <f>HYPERLINK("https://pronto.by/catalog/product/303-035.html", "https://pronto.by/catalog/product/303-035.html")</f>
        <v>https://pronto.by/catalog/product/303-035.html</v>
      </c>
    </row>
    <row r="17" spans="1:14" customFormat="1" ht="55.2">
      <c r="A17" s="35" t="s">
        <v>42</v>
      </c>
      <c r="B17" s="19" t="s">
        <v>43</v>
      </c>
      <c r="C17" s="20" t="s">
        <v>44</v>
      </c>
      <c r="D17" s="36" t="s">
        <v>28</v>
      </c>
      <c r="E17" s="37" t="s">
        <v>3311</v>
      </c>
      <c r="F17" s="43">
        <v>25.140000000000004</v>
      </c>
      <c r="G17" s="100">
        <f t="shared" si="0"/>
        <v>25.14</v>
      </c>
      <c r="H17" s="101"/>
      <c r="I17" s="100">
        <f>G17*H17</f>
        <v>0</v>
      </c>
      <c r="J17" s="39" t="s">
        <v>3336</v>
      </c>
      <c r="K17" s="40" t="s">
        <v>35</v>
      </c>
      <c r="L17" s="41"/>
      <c r="M17" s="42" t="str">
        <f>HYPERLINK("https://catalog.onliner.by/xmaslights/neonnight/nn303032", "https://catalog.onliner.by/xmaslights/neonnight/nn303032")</f>
        <v>https://catalog.onliner.by/xmaslights/neonnight/nn303032</v>
      </c>
      <c r="N17" s="42" t="str">
        <f>HYPERLINK("https://pronto.by/catalog/product/303-032.html", "https://pronto.by/catalog/product/303-032.html")</f>
        <v>https://pronto.by/catalog/product/303-032.html</v>
      </c>
    </row>
    <row r="18" spans="1:14" customFormat="1" ht="41.4">
      <c r="A18" s="35" t="s">
        <v>45</v>
      </c>
      <c r="B18" s="19" t="s">
        <v>46</v>
      </c>
      <c r="C18" s="20" t="s">
        <v>47</v>
      </c>
      <c r="D18" s="36" t="s">
        <v>28</v>
      </c>
      <c r="E18" s="37" t="s">
        <v>3279</v>
      </c>
      <c r="F18" s="43">
        <v>12.540000000000001</v>
      </c>
      <c r="G18" s="100">
        <f t="shared" si="0"/>
        <v>12.54</v>
      </c>
      <c r="H18" s="101"/>
      <c r="I18" s="100">
        <f>G18*H18</f>
        <v>0</v>
      </c>
      <c r="J18" s="39" t="s">
        <v>3336</v>
      </c>
      <c r="K18" s="40" t="s">
        <v>35</v>
      </c>
      <c r="L18" s="41"/>
      <c r="M18" s="42" t="str">
        <f>HYPERLINK("https://catalog.onliner.by/xmaslights/neonnight/303036", "https://catalog.onliner.by/xmaslights/neonnight/303036")</f>
        <v>https://catalog.onliner.by/xmaslights/neonnight/303036</v>
      </c>
      <c r="N18" s="42" t="str">
        <f>HYPERLINK("https://pronto.by/catalog/product/303-036.html", "https://pronto.by/catalog/product/303-036.html")</f>
        <v>https://pronto.by/catalog/product/303-036.html</v>
      </c>
    </row>
    <row r="19" spans="1:14" customFormat="1" ht="71.400000000000006">
      <c r="A19" s="35" t="s">
        <v>48</v>
      </c>
      <c r="B19" s="19" t="s">
        <v>49</v>
      </c>
      <c r="C19" s="20" t="s">
        <v>50</v>
      </c>
      <c r="D19" s="36" t="s">
        <v>28</v>
      </c>
      <c r="E19" s="37" t="s">
        <v>3280</v>
      </c>
      <c r="F19" s="43">
        <v>16.740000000000002</v>
      </c>
      <c r="G19" s="100">
        <f t="shared" si="0"/>
        <v>16.739999999999998</v>
      </c>
      <c r="H19" s="101"/>
      <c r="I19" s="100">
        <f>G19*H19</f>
        <v>0</v>
      </c>
      <c r="J19" s="39" t="s">
        <v>3336</v>
      </c>
      <c r="K19" s="40" t="s">
        <v>35</v>
      </c>
      <c r="L19" s="41"/>
      <c r="M19" s="42" t="str">
        <f>HYPERLINK("https://catalog.onliner.by/xmaslights/neonnight/neon304024", "https://catalog.onliner.by/xmaslights/neonnight/neon304024")</f>
        <v>https://catalog.onliner.by/xmaslights/neonnight/neon304024</v>
      </c>
      <c r="N19" s="42" t="str">
        <f>HYPERLINK("https://pronto.by/catalog/prazdnichnaya-svetotehnika/home-konechnye-potrebiteli/girlyandy-ekonom/18771/304-024.html", "https://pronto.by/catalog/prazdnichnaya-svetotehnika/home-konechnye-potrebiteli/girlyandy-ekonom/18771/304-024.html")</f>
        <v>https://pronto.by/catalog/prazdnichnaya-svetotehnika/home-konechnye-potrebiteli/girlyandy-ekonom/18771/304-024.html</v>
      </c>
    </row>
    <row r="20" spans="1:14" customFormat="1" ht="81.599999999999994">
      <c r="A20" s="35" t="s">
        <v>51</v>
      </c>
      <c r="B20" s="19" t="s">
        <v>52</v>
      </c>
      <c r="C20" s="20" t="s">
        <v>53</v>
      </c>
      <c r="D20" s="36" t="s">
        <v>28</v>
      </c>
      <c r="E20" s="37" t="s">
        <v>3261</v>
      </c>
      <c r="F20" s="43">
        <v>20.939999999999998</v>
      </c>
      <c r="G20" s="100">
        <f t="shared" si="0"/>
        <v>20.94</v>
      </c>
      <c r="H20" s="101"/>
      <c r="I20" s="100">
        <f>G20*H20</f>
        <v>0</v>
      </c>
      <c r="J20" s="39" t="s">
        <v>3336</v>
      </c>
      <c r="K20" s="40" t="s">
        <v>35</v>
      </c>
      <c r="L20" s="41"/>
      <c r="M20" s="42" t="str">
        <f>HYPERLINK("https://catalog.onliner.by/xmaslights/neonnight/304025", "https://catalog.onliner.by/xmaslights/neonnight/304025")</f>
        <v>https://catalog.onliner.by/xmaslights/neonnight/304025</v>
      </c>
      <c r="N20" s="42" t="str">
        <f>HYPERLINK("https://pronto.by/catalog/prazdnichnaya-svetotehnika/home-konechnye-potrebiteli/girlyanda-universalnaya-tvinkl/tvinkl-10-m/304-025.html", "https://pronto.by/catalog/prazdnichnaya-svetotehnika/home-konechnye-potrebiteli/girlyanda-universalnaya-tvinkl/tvinkl-10-m/304-025.html")</f>
        <v>https://pronto.by/catalog/prazdnichnaya-svetotehnika/home-konechnye-potrebiteli/girlyanda-universalnaya-tvinkl/tvinkl-10-m/304-025.html</v>
      </c>
    </row>
    <row r="21" spans="1:14" customFormat="1" ht="81.599999999999994">
      <c r="A21" s="35" t="s">
        <v>54</v>
      </c>
      <c r="B21" s="19" t="s">
        <v>55</v>
      </c>
      <c r="C21" s="20" t="s">
        <v>56</v>
      </c>
      <c r="D21" s="36" t="s">
        <v>28</v>
      </c>
      <c r="E21" s="37" t="s">
        <v>3261</v>
      </c>
      <c r="F21" s="43">
        <v>20.939999999999998</v>
      </c>
      <c r="G21" s="100">
        <f t="shared" si="0"/>
        <v>20.94</v>
      </c>
      <c r="H21" s="101"/>
      <c r="I21" s="100">
        <f>G21*H21</f>
        <v>0</v>
      </c>
      <c r="J21" s="39" t="s">
        <v>3336</v>
      </c>
      <c r="K21" s="40" t="s">
        <v>35</v>
      </c>
      <c r="L21" s="41"/>
      <c r="M21" s="42" t="str">
        <f>HYPERLINK("https://catalog.onliner.by/xmaslights/neonnight/304029", "https://catalog.onliner.by/xmaslights/neonnight/304029")</f>
        <v>https://catalog.onliner.by/xmaslights/neonnight/304029</v>
      </c>
      <c r="N21" s="42" t="str">
        <f>HYPERLINK("https://pronto.by/catalog/prazdnichnaya-svetotehnika/home-konechnye-potrebiteli/girlyanda-universalnaya-tvinkl/tvinkl-10-m/304-029.html", "https://pronto.by/catalog/prazdnichnaya-svetotehnika/home-konechnye-potrebiteli/girlyanda-universalnaya-tvinkl/tvinkl-10-m/304-029.html")</f>
        <v>https://pronto.by/catalog/prazdnichnaya-svetotehnika/home-konechnye-potrebiteli/girlyanda-universalnaya-tvinkl/tvinkl-10-m/304-029.html</v>
      </c>
    </row>
    <row r="22" spans="1:14" customFormat="1" ht="55.2">
      <c r="A22" s="35" t="s">
        <v>57</v>
      </c>
      <c r="B22" s="19" t="s">
        <v>58</v>
      </c>
      <c r="C22" s="20" t="s">
        <v>59</v>
      </c>
      <c r="D22" s="36" t="s">
        <v>28</v>
      </c>
      <c r="E22" s="37" t="s">
        <v>3260</v>
      </c>
      <c r="F22" s="43">
        <v>20.939999999999998</v>
      </c>
      <c r="G22" s="100">
        <f t="shared" si="0"/>
        <v>20.94</v>
      </c>
      <c r="H22" s="101"/>
      <c r="I22" s="100">
        <f>G22*H22</f>
        <v>0</v>
      </c>
      <c r="J22" s="39" t="s">
        <v>3336</v>
      </c>
      <c r="K22" s="40" t="s">
        <v>35</v>
      </c>
      <c r="L22" s="41"/>
      <c r="M22" s="44"/>
      <c r="N22" s="44"/>
    </row>
    <row r="23" spans="1:14" customFormat="1" ht="55.2">
      <c r="A23" s="35" t="s">
        <v>60</v>
      </c>
      <c r="B23" s="19" t="s">
        <v>61</v>
      </c>
      <c r="C23" s="20" t="s">
        <v>62</v>
      </c>
      <c r="D23" s="36" t="s">
        <v>28</v>
      </c>
      <c r="E23" s="37" t="s">
        <v>3260</v>
      </c>
      <c r="F23" s="43">
        <v>20.939999999999998</v>
      </c>
      <c r="G23" s="100">
        <f t="shared" si="0"/>
        <v>20.94</v>
      </c>
      <c r="H23" s="101"/>
      <c r="I23" s="100">
        <f>G23*H23</f>
        <v>0</v>
      </c>
      <c r="J23" s="39" t="s">
        <v>3336</v>
      </c>
      <c r="K23" s="40" t="s">
        <v>35</v>
      </c>
      <c r="L23" s="41"/>
      <c r="M23" s="42" t="str">
        <f>HYPERLINK("https://catalog.onliner.by/xmaslights/neonnight/303105", "https://catalog.onliner.by/xmaslights/neonnight/303105")</f>
        <v>https://catalog.onliner.by/xmaslights/neonnight/303105</v>
      </c>
      <c r="N23" s="42" t="str">
        <f>HYPERLINK("https://pronto.by/catalog/product/303-105.html", "https://pronto.by/catalog/product/303-105.html")</f>
        <v>https://pronto.by/catalog/product/303-105.html</v>
      </c>
    </row>
    <row r="24" spans="1:14" customFormat="1" ht="41.4">
      <c r="A24" s="35" t="s">
        <v>63</v>
      </c>
      <c r="B24" s="19" t="s">
        <v>64</v>
      </c>
      <c r="C24" s="20" t="s">
        <v>65</v>
      </c>
      <c r="D24" s="36" t="s">
        <v>28</v>
      </c>
      <c r="E24" s="37" t="s">
        <v>3277</v>
      </c>
      <c r="F24" s="43">
        <v>33.54</v>
      </c>
      <c r="G24" s="100">
        <f t="shared" si="0"/>
        <v>33.54</v>
      </c>
      <c r="H24" s="101"/>
      <c r="I24" s="100">
        <f>G24*H24</f>
        <v>0</v>
      </c>
      <c r="J24" s="39" t="s">
        <v>3336</v>
      </c>
      <c r="K24" s="40" t="s">
        <v>35</v>
      </c>
      <c r="L24" s="41"/>
      <c r="M24" s="42" t="str">
        <f>HYPERLINK("https://catalog.onliner.by/xmaslights/neonnight/nn303106", "https://catalog.onliner.by/xmaslights/neonnight/nn303106")</f>
        <v>https://catalog.onliner.by/xmaslights/neonnight/nn303106</v>
      </c>
      <c r="N24" s="42" t="str">
        <f>HYPERLINK("https://pronto.by/catalog/product/303-106.html", "https://pronto.by/catalog/product/303-106.html")</f>
        <v>https://pronto.by/catalog/product/303-106.html</v>
      </c>
    </row>
    <row r="25" spans="1:14" customFormat="1" ht="81.599999999999994">
      <c r="A25" s="35" t="s">
        <v>66</v>
      </c>
      <c r="B25" s="19" t="s">
        <v>67</v>
      </c>
      <c r="C25" s="20" t="s">
        <v>68</v>
      </c>
      <c r="D25" s="36" t="s">
        <v>28</v>
      </c>
      <c r="E25" s="37" t="s">
        <v>3277</v>
      </c>
      <c r="F25" s="43">
        <v>33.54</v>
      </c>
      <c r="G25" s="100">
        <f t="shared" si="0"/>
        <v>33.54</v>
      </c>
      <c r="H25" s="101"/>
      <c r="I25" s="100">
        <f>G25*H25</f>
        <v>0</v>
      </c>
      <c r="J25" s="39" t="s">
        <v>3336</v>
      </c>
      <c r="K25" s="40" t="s">
        <v>35</v>
      </c>
      <c r="L25" s="41"/>
      <c r="M25" s="42" t="str">
        <f>HYPERLINK("https://catalog.onliner.by/xmaslights/neonnight/nn304119", "https://catalog.onliner.by/xmaslights/neonnight/nn304119")</f>
        <v>https://catalog.onliner.by/xmaslights/neonnight/nn304119</v>
      </c>
      <c r="N25" s="42" t="str">
        <f>HYPERLINK("https://pronto.by/catalog/prazdnichnaya-svetotehnika/home-konechnye-potrebiteli/girlyanda-universalnaya-tvinkl/tvinkl-20-m/304-119.html", "https://pronto.by/catalog/prazdnichnaya-svetotehnika/home-konechnye-potrebiteli/girlyanda-universalnaya-tvinkl/tvinkl-20-m/304-119.html")</f>
        <v>https://pronto.by/catalog/prazdnichnaya-svetotehnika/home-konechnye-potrebiteli/girlyanda-universalnaya-tvinkl/tvinkl-20-m/304-119.html</v>
      </c>
    </row>
    <row r="26" spans="1:14" customFormat="1" ht="81.599999999999994">
      <c r="A26" s="35" t="s">
        <v>70</v>
      </c>
      <c r="B26" s="19" t="s">
        <v>71</v>
      </c>
      <c r="C26" s="20" t="s">
        <v>72</v>
      </c>
      <c r="D26" s="36" t="s">
        <v>28</v>
      </c>
      <c r="E26" s="37" t="s">
        <v>3277</v>
      </c>
      <c r="F26" s="43">
        <v>33.54</v>
      </c>
      <c r="G26" s="100">
        <f t="shared" si="0"/>
        <v>33.54</v>
      </c>
      <c r="H26" s="101"/>
      <c r="I26" s="100">
        <f>G26*H26</f>
        <v>0</v>
      </c>
      <c r="J26" s="39" t="s">
        <v>3336</v>
      </c>
      <c r="K26" s="40" t="s">
        <v>35</v>
      </c>
      <c r="L26" s="41"/>
      <c r="M26" s="42" t="str">
        <f>HYPERLINK("https://catalog.onliner.by/xmaslights/neonnight/nn304116", "https://catalog.onliner.by/xmaslights/neonnight/nn304116")</f>
        <v>https://catalog.onliner.by/xmaslights/neonnight/nn304116</v>
      </c>
      <c r="N26" s="42" t="str">
        <f>HYPERLINK("https://pronto.by/catalog/prazdnichnaya-svetotehnika/home-konechnye-potrebiteli/girlyanda-universalnaya-tvinkl/tvinkl-20-m/304-116.html", "https://pronto.by/catalog/prazdnichnaya-svetotehnika/home-konechnye-potrebiteli/girlyanda-universalnaya-tvinkl/tvinkl-20-m/304-116.html")</f>
        <v>https://pronto.by/catalog/prazdnichnaya-svetotehnika/home-konechnye-potrebiteli/girlyanda-universalnaya-tvinkl/tvinkl-20-m/304-116.html</v>
      </c>
    </row>
    <row r="27" spans="1:14" customFormat="1" ht="55.2">
      <c r="A27" s="45" t="s">
        <v>73</v>
      </c>
      <c r="B27" s="46" t="s">
        <v>74</v>
      </c>
      <c r="C27" s="20" t="s">
        <v>75</v>
      </c>
      <c r="D27" s="47" t="s">
        <v>28</v>
      </c>
      <c r="E27" s="48" t="s">
        <v>3261</v>
      </c>
      <c r="F27" s="43">
        <v>42.48</v>
      </c>
      <c r="G27" s="100">
        <f t="shared" si="0"/>
        <v>42.48</v>
      </c>
      <c r="H27" s="101"/>
      <c r="I27" s="100">
        <f>G27*H27</f>
        <v>0</v>
      </c>
      <c r="J27" s="49" t="s">
        <v>3336</v>
      </c>
      <c r="K27" s="50" t="s">
        <v>41</v>
      </c>
      <c r="L27" s="51"/>
      <c r="M27" s="42" t="str">
        <f>HYPERLINK("https://catalog.onliner.by/xmaslights/neonnight/303109", "https://catalog.onliner.by/xmaslights/neonnight/303109")</f>
        <v>https://catalog.onliner.by/xmaslights/neonnight/303109</v>
      </c>
      <c r="N27" s="44"/>
    </row>
    <row r="28" spans="1:14" customFormat="1" ht="69">
      <c r="A28" s="35" t="s">
        <v>76</v>
      </c>
      <c r="B28" s="19" t="s">
        <v>77</v>
      </c>
      <c r="C28" s="20" t="s">
        <v>78</v>
      </c>
      <c r="D28" s="36" t="s">
        <v>28</v>
      </c>
      <c r="E28" s="37" t="s">
        <v>3261</v>
      </c>
      <c r="F28" s="43">
        <v>25.140000000000004</v>
      </c>
      <c r="G28" s="100">
        <f t="shared" si="0"/>
        <v>25.14</v>
      </c>
      <c r="H28" s="101"/>
      <c r="I28" s="100">
        <f>G28*H28</f>
        <v>0</v>
      </c>
      <c r="J28" s="39" t="s">
        <v>3336</v>
      </c>
      <c r="K28" s="40" t="s">
        <v>35</v>
      </c>
      <c r="L28" s="41"/>
      <c r="M28" s="42" t="str">
        <f>HYPERLINK("https://catalog.onliner.by/xmaslights/neonnight/303064", "https://catalog.onliner.by/xmaslights/neonnight/303064")</f>
        <v>https://catalog.onliner.by/xmaslights/neonnight/303064</v>
      </c>
      <c r="N28" s="44"/>
    </row>
    <row r="29" spans="1:14" customFormat="1" ht="41.4">
      <c r="A29" s="35" t="s">
        <v>79</v>
      </c>
      <c r="B29" s="19" t="s">
        <v>80</v>
      </c>
      <c r="C29" s="20" t="s">
        <v>81</v>
      </c>
      <c r="D29" s="36" t="s">
        <v>28</v>
      </c>
      <c r="E29" s="37" t="s">
        <v>3261</v>
      </c>
      <c r="F29" s="43">
        <v>12.540000000000001</v>
      </c>
      <c r="G29" s="100">
        <f t="shared" si="0"/>
        <v>12.54</v>
      </c>
      <c r="H29" s="101"/>
      <c r="I29" s="100">
        <f>G29*H29</f>
        <v>0</v>
      </c>
      <c r="J29" s="39" t="s">
        <v>3336</v>
      </c>
      <c r="K29" s="40" t="s">
        <v>35</v>
      </c>
      <c r="L29" s="41"/>
      <c r="M29" s="42" t="str">
        <f>HYPERLINK("https://catalog.onliner.by/xmaslights/neonnight/303060", "https://catalog.onliner.by/xmaslights/neonnight/303060")</f>
        <v>https://catalog.onliner.by/xmaslights/neonnight/303060</v>
      </c>
      <c r="N29" s="42" t="str">
        <f>HYPERLINK("https://pronto.by/catalog/product/303-060.html", "https://pronto.by/catalog/product/303-060.html")</f>
        <v>https://pronto.by/catalog/product/303-060.html</v>
      </c>
    </row>
    <row r="30" spans="1:14" customFormat="1" ht="41.4">
      <c r="A30" s="35" t="s">
        <v>82</v>
      </c>
      <c r="B30" s="19" t="s">
        <v>83</v>
      </c>
      <c r="C30" s="20" t="s">
        <v>84</v>
      </c>
      <c r="D30" s="36" t="s">
        <v>28</v>
      </c>
      <c r="E30" s="37" t="s">
        <v>3261</v>
      </c>
      <c r="F30" s="43">
        <v>16.740000000000002</v>
      </c>
      <c r="G30" s="100">
        <f t="shared" si="0"/>
        <v>16.739999999999998</v>
      </c>
      <c r="H30" s="101"/>
      <c r="I30" s="100">
        <f>G30*H30</f>
        <v>0</v>
      </c>
      <c r="J30" s="39" t="s">
        <v>3336</v>
      </c>
      <c r="K30" s="40" t="s">
        <v>35</v>
      </c>
      <c r="L30" s="41"/>
      <c r="M30" s="42" t="str">
        <f>HYPERLINK("https://catalog.onliner.by/xmaslights/neonnight/303038", "https://catalog.onliner.by/xmaslights/neonnight/303038")</f>
        <v>https://catalog.onliner.by/xmaslights/neonnight/303038</v>
      </c>
      <c r="N30" s="42" t="str">
        <f>HYPERLINK("https://pronto.by/catalog/product/303-038.html", "https://pronto.by/catalog/product/303-038.html")</f>
        <v>https://pronto.by/catalog/product/303-038.html</v>
      </c>
    </row>
    <row r="31" spans="1:14" customFormat="1" ht="71.400000000000006">
      <c r="A31" s="35" t="s">
        <v>85</v>
      </c>
      <c r="B31" s="19" t="s">
        <v>86</v>
      </c>
      <c r="C31" s="20" t="s">
        <v>87</v>
      </c>
      <c r="D31" s="36" t="s">
        <v>28</v>
      </c>
      <c r="E31" s="37" t="s">
        <v>3280</v>
      </c>
      <c r="F31" s="43">
        <v>16.740000000000002</v>
      </c>
      <c r="G31" s="100">
        <f t="shared" si="0"/>
        <v>16.739999999999998</v>
      </c>
      <c r="H31" s="101"/>
      <c r="I31" s="100">
        <f>G31*H31</f>
        <v>0</v>
      </c>
      <c r="J31" s="39" t="s">
        <v>3336</v>
      </c>
      <c r="K31" s="40" t="s">
        <v>35</v>
      </c>
      <c r="L31" s="41"/>
      <c r="M31" s="42" t="str">
        <f>HYPERLINK("https://catalog.onliner.by/xmaslights/neonnight/neon304023", "https://catalog.onliner.by/xmaslights/neonnight/neon304023")</f>
        <v>https://catalog.onliner.by/xmaslights/neonnight/neon304023</v>
      </c>
      <c r="N31" s="42" t="str">
        <f>HYPERLINK("https://pronto.by/catalog/prazdnichnaya-svetotehnika/home-konechnye-potrebiteli/girlyandy-ekonom/18771/304-023.html", "https://pronto.by/catalog/prazdnichnaya-svetotehnika/home-konechnye-potrebiteli/girlyandy-ekonom/18771/304-023.html")</f>
        <v>https://pronto.by/catalog/prazdnichnaya-svetotehnika/home-konechnye-potrebiteli/girlyandy-ekonom/18771/304-023.html</v>
      </c>
    </row>
    <row r="32" spans="1:14" customFormat="1" ht="71.400000000000006">
      <c r="A32" s="35" t="s">
        <v>88</v>
      </c>
      <c r="B32" s="19" t="s">
        <v>89</v>
      </c>
      <c r="C32" s="20" t="s">
        <v>90</v>
      </c>
      <c r="D32" s="36" t="s">
        <v>28</v>
      </c>
      <c r="E32" s="37" t="s">
        <v>3280</v>
      </c>
      <c r="F32" s="43">
        <v>16.740000000000002</v>
      </c>
      <c r="G32" s="100">
        <f t="shared" si="0"/>
        <v>16.739999999999998</v>
      </c>
      <c r="H32" s="101"/>
      <c r="I32" s="100">
        <f>G32*H32</f>
        <v>0</v>
      </c>
      <c r="J32" s="39" t="s">
        <v>3336</v>
      </c>
      <c r="K32" s="40" t="s">
        <v>35</v>
      </c>
      <c r="L32" s="41"/>
      <c r="M32" s="42" t="str">
        <f>HYPERLINK("https://catalog.onliner.by/xmaslights/neonnight/neon304022", "https://catalog.onliner.by/xmaslights/neonnight/neon304022")</f>
        <v>https://catalog.onliner.by/xmaslights/neonnight/neon304022</v>
      </c>
      <c r="N32" s="42" t="str">
        <f>HYPERLINK("https://pronto.by/catalog/prazdnichnaya-svetotehnika/home-konechnye-potrebiteli/girlyandy-ekonom/18771/304-022.html", "https://pronto.by/catalog/prazdnichnaya-svetotehnika/home-konechnye-potrebiteli/girlyandy-ekonom/18771/304-022.html")</f>
        <v>https://pronto.by/catalog/prazdnichnaya-svetotehnika/home-konechnye-potrebiteli/girlyandy-ekonom/18771/304-022.html</v>
      </c>
    </row>
    <row r="33" spans="1:14" customFormat="1" ht="71.400000000000006">
      <c r="A33" s="35" t="s">
        <v>91</v>
      </c>
      <c r="B33" s="19" t="s">
        <v>92</v>
      </c>
      <c r="C33" s="20" t="s">
        <v>93</v>
      </c>
      <c r="D33" s="36" t="s">
        <v>28</v>
      </c>
      <c r="E33" s="37" t="s">
        <v>3280</v>
      </c>
      <c r="F33" s="43">
        <v>16.740000000000002</v>
      </c>
      <c r="G33" s="100">
        <f t="shared" si="0"/>
        <v>16.739999999999998</v>
      </c>
      <c r="H33" s="101"/>
      <c r="I33" s="100">
        <f>G33*H33</f>
        <v>0</v>
      </c>
      <c r="J33" s="39" t="s">
        <v>3336</v>
      </c>
      <c r="K33" s="40" t="s">
        <v>35</v>
      </c>
      <c r="L33" s="41"/>
      <c r="M33" s="42" t="str">
        <f>HYPERLINK("https://catalog.onliner.by/xmaslights/neonnight/neon304021", "https://catalog.onliner.by/xmaslights/neonnight/neon304021")</f>
        <v>https://catalog.onliner.by/xmaslights/neonnight/neon304021</v>
      </c>
      <c r="N33" s="42" t="str">
        <f>HYPERLINK("https://pronto.by/catalog/prazdnichnaya-svetotehnika/home-konechnye-potrebiteli/girlyandy-ekonom/18771/304-021.html", "https://pronto.by/catalog/prazdnichnaya-svetotehnika/home-konechnye-potrebiteli/girlyandy-ekonom/18771/304-021.html")</f>
        <v>https://pronto.by/catalog/prazdnichnaya-svetotehnika/home-konechnye-potrebiteli/girlyandy-ekonom/18771/304-021.html</v>
      </c>
    </row>
    <row r="34" spans="1:14" customFormat="1" ht="55.2">
      <c r="A34" s="35" t="s">
        <v>94</v>
      </c>
      <c r="B34" s="19" t="s">
        <v>95</v>
      </c>
      <c r="C34" s="20" t="s">
        <v>96</v>
      </c>
      <c r="D34" s="36" t="s">
        <v>28</v>
      </c>
      <c r="E34" s="37" t="s">
        <v>3284</v>
      </c>
      <c r="F34" s="43">
        <v>23.040000000000003</v>
      </c>
      <c r="G34" s="100">
        <f t="shared" si="0"/>
        <v>23.04</v>
      </c>
      <c r="H34" s="101"/>
      <c r="I34" s="100">
        <f>G34*H34</f>
        <v>0</v>
      </c>
      <c r="J34" s="39" t="s">
        <v>3336</v>
      </c>
      <c r="K34" s="40" t="s">
        <v>35</v>
      </c>
      <c r="L34" s="41"/>
      <c r="M34" s="42" t="str">
        <f>HYPERLINK("https://catalog.onliner.by/xmaslights/neonnight/nn303069", "https://catalog.onliner.by/xmaslights/neonnight/nn303069")</f>
        <v>https://catalog.onliner.by/xmaslights/neonnight/nn303069</v>
      </c>
      <c r="N34" s="42" t="str">
        <f>HYPERLINK("https://pronto.by/catalog/product/303-069.html", "https://pronto.by/catalog/product/303-069.html")</f>
        <v>https://pronto.by/catalog/product/303-069.html</v>
      </c>
    </row>
    <row r="35" spans="1:14" customFormat="1" ht="41.4">
      <c r="A35" s="35" t="s">
        <v>97</v>
      </c>
      <c r="B35" s="19" t="s">
        <v>98</v>
      </c>
      <c r="C35" s="20" t="s">
        <v>99</v>
      </c>
      <c r="D35" s="36" t="s">
        <v>28</v>
      </c>
      <c r="E35" s="37" t="s">
        <v>3260</v>
      </c>
      <c r="F35" s="43">
        <v>14.64</v>
      </c>
      <c r="G35" s="100">
        <f t="shared" si="0"/>
        <v>14.64</v>
      </c>
      <c r="H35" s="101"/>
      <c r="I35" s="100">
        <f>G35*H35</f>
        <v>0</v>
      </c>
      <c r="J35" s="39" t="s">
        <v>3336</v>
      </c>
      <c r="K35" s="40" t="s">
        <v>35</v>
      </c>
      <c r="L35" s="41"/>
      <c r="M35" s="42" t="str">
        <f>HYPERLINK("https://catalog.onliner.by/xmaslights/neonnight/nn303068", "https://catalog.onliner.by/xmaslights/neonnight/nn303068")</f>
        <v>https://catalog.onliner.by/xmaslights/neonnight/nn303068</v>
      </c>
      <c r="N35" s="42" t="str">
        <f>HYPERLINK("https://pronto.by/catalog/product/303-068.html", "https://pronto.by/catalog/product/303-068.html")</f>
        <v>https://pronto.by/catalog/product/303-068.html</v>
      </c>
    </row>
    <row r="36" spans="1:14" customFormat="1" ht="55.2">
      <c r="A36" s="35" t="s">
        <v>100</v>
      </c>
      <c r="B36" s="19" t="s">
        <v>101</v>
      </c>
      <c r="C36" s="20" t="s">
        <v>102</v>
      </c>
      <c r="D36" s="36" t="s">
        <v>28</v>
      </c>
      <c r="E36" s="37" t="s">
        <v>3260</v>
      </c>
      <c r="F36" s="43">
        <v>16.740000000000002</v>
      </c>
      <c r="G36" s="100">
        <f t="shared" si="0"/>
        <v>16.739999999999998</v>
      </c>
      <c r="H36" s="101"/>
      <c r="I36" s="100">
        <f>G36*H36</f>
        <v>0</v>
      </c>
      <c r="J36" s="39" t="s">
        <v>3336</v>
      </c>
      <c r="K36" s="40" t="s">
        <v>35</v>
      </c>
      <c r="L36" s="41"/>
      <c r="M36" s="42" t="str">
        <f>HYPERLINK("https://catalog.onliner.by/xmaslights/neonnight/nn303067", "https://catalog.onliner.by/xmaslights/neonnight/nn303067")</f>
        <v>https://catalog.onliner.by/xmaslights/neonnight/nn303067</v>
      </c>
      <c r="N36" s="42" t="str">
        <f>HYPERLINK("https://pronto.by/catalog/product/303-067.html", "https://pronto.by/catalog/product/303-067.html")</f>
        <v>https://pronto.by/catalog/product/303-067.html</v>
      </c>
    </row>
    <row r="37" spans="1:14" customFormat="1" ht="41.4">
      <c r="A37" s="35" t="s">
        <v>103</v>
      </c>
      <c r="B37" s="19" t="s">
        <v>104</v>
      </c>
      <c r="C37" s="20" t="s">
        <v>105</v>
      </c>
      <c r="D37" s="36" t="s">
        <v>28</v>
      </c>
      <c r="E37" s="37" t="s">
        <v>3291</v>
      </c>
      <c r="F37" s="43">
        <v>54.84</v>
      </c>
      <c r="G37" s="100">
        <f t="shared" si="0"/>
        <v>54.84</v>
      </c>
      <c r="H37" s="101"/>
      <c r="I37" s="100">
        <f>G37*H37</f>
        <v>0</v>
      </c>
      <c r="J37" s="39" t="s">
        <v>3336</v>
      </c>
      <c r="K37" s="40" t="s">
        <v>35</v>
      </c>
      <c r="L37" s="41"/>
      <c r="M37" s="42" t="str">
        <f>HYPERLINK("https://catalog.onliner.by/xmaslights/neonnight/nn303066", "https://catalog.onliner.by/xmaslights/neonnight/nn303066")</f>
        <v>https://catalog.onliner.by/xmaslights/neonnight/nn303066</v>
      </c>
      <c r="N37" s="42" t="str">
        <f>HYPERLINK("https://pronto.by/catalog/product/303-066.html", "https://pronto.by/catalog/product/303-066.html")</f>
        <v>https://pronto.by/catalog/product/303-066.html</v>
      </c>
    </row>
    <row r="38" spans="1:14" customFormat="1" ht="41.4">
      <c r="A38" s="35" t="s">
        <v>106</v>
      </c>
      <c r="B38" s="19" t="s">
        <v>107</v>
      </c>
      <c r="C38" s="20" t="s">
        <v>108</v>
      </c>
      <c r="D38" s="36" t="s">
        <v>29</v>
      </c>
      <c r="E38" s="37" t="s">
        <v>3296</v>
      </c>
      <c r="F38" s="43">
        <v>6.24</v>
      </c>
      <c r="G38" s="100">
        <f t="shared" si="0"/>
        <v>6.24</v>
      </c>
      <c r="H38" s="101"/>
      <c r="I38" s="100">
        <f>G38*H38</f>
        <v>0</v>
      </c>
      <c r="J38" s="39" t="s">
        <v>3336</v>
      </c>
      <c r="K38" s="40" t="s">
        <v>35</v>
      </c>
      <c r="L38" s="41"/>
      <c r="M38" s="42" t="str">
        <f>HYPERLINK("https://catalog.onliner.by/xmaslights/neonnight/neon104321", "https://catalog.onliner.by/xmaslights/neonnight/neon104321")</f>
        <v>https://catalog.onliner.by/xmaslights/neonnight/neon104321</v>
      </c>
      <c r="N38" s="42" t="str">
        <f>HYPERLINK("https://pronto.by/catalog/product/104-321.html", "https://pronto.by/catalog/product/104-321.html")</f>
        <v>https://pronto.by/catalog/product/104-321.html</v>
      </c>
    </row>
    <row r="39" spans="1:14" customFormat="1" ht="41.4">
      <c r="A39" s="35" t="s">
        <v>109</v>
      </c>
      <c r="B39" s="19" t="s">
        <v>110</v>
      </c>
      <c r="C39" s="20" t="s">
        <v>111</v>
      </c>
      <c r="D39" s="36" t="s">
        <v>28</v>
      </c>
      <c r="E39" s="37" t="s">
        <v>3277</v>
      </c>
      <c r="F39" s="43">
        <v>64.98</v>
      </c>
      <c r="G39" s="100">
        <f t="shared" si="0"/>
        <v>64.98</v>
      </c>
      <c r="H39" s="101"/>
      <c r="I39" s="100">
        <f>G39*H39</f>
        <v>0</v>
      </c>
      <c r="J39" s="39" t="s">
        <v>3336</v>
      </c>
      <c r="K39" s="40" t="s">
        <v>35</v>
      </c>
      <c r="L39" s="41"/>
      <c r="M39" s="42" t="str">
        <f>HYPERLINK("https://catalog.onliner.by/xmaslights/neonnight/nn303085", "https://catalog.onliner.by/xmaslights/neonnight/nn303085")</f>
        <v>https://catalog.onliner.by/xmaslights/neonnight/nn303085</v>
      </c>
      <c r="N39" s="42" t="str">
        <f>HYPERLINK("https://pronto.by/catalog/product/303-085.html", "https://pronto.by/catalog/product/303-085.html")</f>
        <v>https://pronto.by/catalog/product/303-085.html</v>
      </c>
    </row>
    <row r="40" spans="1:14" customFormat="1" ht="41.4">
      <c r="A40" s="35" t="s">
        <v>112</v>
      </c>
      <c r="B40" s="19" t="s">
        <v>113</v>
      </c>
      <c r="C40" s="20" t="s">
        <v>114</v>
      </c>
      <c r="D40" s="36" t="s">
        <v>28</v>
      </c>
      <c r="E40" s="37" t="s">
        <v>3279</v>
      </c>
      <c r="F40" s="43">
        <v>33.18</v>
      </c>
      <c r="G40" s="100">
        <f t="shared" si="0"/>
        <v>33.18</v>
      </c>
      <c r="H40" s="101"/>
      <c r="I40" s="100">
        <f>G40*H40</f>
        <v>0</v>
      </c>
      <c r="J40" s="39" t="s">
        <v>3336</v>
      </c>
      <c r="K40" s="40" t="s">
        <v>35</v>
      </c>
      <c r="L40" s="41"/>
      <c r="M40" s="42" t="str">
        <f>HYPERLINK("https://catalog.onliner.by/xmaslights/neonnight/nn303083", "https://catalog.onliner.by/xmaslights/neonnight/nn303083")</f>
        <v>https://catalog.onliner.by/xmaslights/neonnight/nn303083</v>
      </c>
      <c r="N40" s="42" t="str">
        <f>HYPERLINK("https://pronto.by/catalog/product/303-083.html", "https://pronto.by/catalog/product/303-083.html")</f>
        <v>https://pronto.by/catalog/product/303-083.html</v>
      </c>
    </row>
    <row r="41" spans="1:14" customFormat="1" ht="41.4">
      <c r="A41" s="35" t="s">
        <v>115</v>
      </c>
      <c r="B41" s="19" t="s">
        <v>116</v>
      </c>
      <c r="C41" s="20" t="s">
        <v>117</v>
      </c>
      <c r="D41" s="36" t="s">
        <v>28</v>
      </c>
      <c r="E41" s="37" t="s">
        <v>3284</v>
      </c>
      <c r="F41" s="43">
        <v>49.980000000000004</v>
      </c>
      <c r="G41" s="100">
        <f t="shared" si="0"/>
        <v>49.98</v>
      </c>
      <c r="H41" s="101"/>
      <c r="I41" s="100">
        <f>G41*H41</f>
        <v>0</v>
      </c>
      <c r="J41" s="39" t="s">
        <v>3336</v>
      </c>
      <c r="K41" s="40" t="s">
        <v>35</v>
      </c>
      <c r="L41" s="41"/>
      <c r="M41" s="42" t="str">
        <f>HYPERLINK("https://catalog.onliner.by/xmaslights/neonnight/nn303084", "https://catalog.onliner.by/xmaslights/neonnight/nn303084")</f>
        <v>https://catalog.onliner.by/xmaslights/neonnight/nn303084</v>
      </c>
      <c r="N41" s="42" t="str">
        <f>HYPERLINK("https://pronto.by/catalog/product/303-084.html", "https://pronto.by/catalog/product/303-084.html")</f>
        <v>https://pronto.by/catalog/product/303-084.html</v>
      </c>
    </row>
    <row r="42" spans="1:14" customFormat="1" ht="71.400000000000006">
      <c r="A42" s="35" t="s">
        <v>118</v>
      </c>
      <c r="B42" s="19" t="s">
        <v>119</v>
      </c>
      <c r="C42" s="20" t="s">
        <v>120</v>
      </c>
      <c r="D42" s="36" t="s">
        <v>28</v>
      </c>
      <c r="E42" s="37" t="s">
        <v>3264</v>
      </c>
      <c r="F42" s="43">
        <v>4.1399999999999997</v>
      </c>
      <c r="G42" s="100">
        <f t="shared" si="0"/>
        <v>4.1399999999999997</v>
      </c>
      <c r="H42" s="101"/>
      <c r="I42" s="100">
        <f>G42*H42</f>
        <v>0</v>
      </c>
      <c r="J42" s="39" t="s">
        <v>3336</v>
      </c>
      <c r="K42" s="40" t="s">
        <v>35</v>
      </c>
      <c r="L42" s="41"/>
      <c r="M42" s="42" t="str">
        <f>HYPERLINK("https://catalog.onliner.by/xmaslights/neonnight/nn315424", "https://catalog.onliner.by/xmaslights/neonnight/nn315424")</f>
        <v>https://catalog.onliner.by/xmaslights/neonnight/nn315424</v>
      </c>
      <c r="N42" s="42" t="str">
        <f>HYPERLINK("https://pronto.by/catalog/prazdnichnaya-svetotehnika/home-konechnye-potrebiteli/girlyandy-ekonom/18771/315-424.html", "https://pronto.by/catalog/prazdnichnaya-svetotehnika/home-konechnye-potrebiteli/girlyandy-ekonom/18771/315-424.html")</f>
        <v>https://pronto.by/catalog/prazdnichnaya-svetotehnika/home-konechnye-potrebiteli/girlyandy-ekonom/18771/315-424.html</v>
      </c>
    </row>
    <row r="43" spans="1:14" customFormat="1" ht="15.6">
      <c r="A43" s="80" t="s">
        <v>3337</v>
      </c>
      <c r="B43" s="67"/>
      <c r="C43" s="67"/>
      <c r="D43" s="32"/>
      <c r="E43" s="32"/>
      <c r="F43" s="32"/>
      <c r="G43" s="52"/>
      <c r="H43" s="52"/>
      <c r="I43" s="52"/>
      <c r="J43" s="32"/>
      <c r="K43" s="32"/>
      <c r="L43" s="33"/>
      <c r="M43" s="32"/>
      <c r="N43" s="34"/>
    </row>
    <row r="44" spans="1:14" customFormat="1" ht="82.8">
      <c r="A44" s="35" t="s">
        <v>121</v>
      </c>
      <c r="B44" s="19" t="s">
        <v>122</v>
      </c>
      <c r="C44" s="20" t="s">
        <v>123</v>
      </c>
      <c r="D44" s="36" t="s">
        <v>28</v>
      </c>
      <c r="E44" s="37" t="s">
        <v>3260</v>
      </c>
      <c r="F44" s="43">
        <v>12.540000000000001</v>
      </c>
      <c r="G44" s="100">
        <f t="shared" si="0"/>
        <v>12.54</v>
      </c>
      <c r="H44" s="101"/>
      <c r="I44" s="100">
        <f>G44*H44</f>
        <v>0</v>
      </c>
      <c r="J44" s="39" t="s">
        <v>3336</v>
      </c>
      <c r="K44" s="40" t="s">
        <v>41</v>
      </c>
      <c r="L44" s="41"/>
      <c r="M44" s="42" t="str">
        <f>HYPERLINK("https://catalog.onliner.by/xmaslights/neonnight/nn303097", "https://catalog.onliner.by/xmaslights/neonnight/nn303097")</f>
        <v>https://catalog.onliner.by/xmaslights/neonnight/nn303097</v>
      </c>
      <c r="N44" s="42" t="str">
        <f>HYPERLINK("https://pronto.by/catalog/product/303-097.html", "https://pronto.by/catalog/product/303-097.html")</f>
        <v>https://pronto.by/catalog/product/303-097.html</v>
      </c>
    </row>
    <row r="45" spans="1:14" customFormat="1" ht="69">
      <c r="A45" s="35" t="s">
        <v>124</v>
      </c>
      <c r="B45" s="19" t="s">
        <v>125</v>
      </c>
      <c r="C45" s="20" t="s">
        <v>126</v>
      </c>
      <c r="D45" s="36" t="s">
        <v>28</v>
      </c>
      <c r="E45" s="37" t="s">
        <v>3279</v>
      </c>
      <c r="F45" s="43">
        <v>9.8400000000000016</v>
      </c>
      <c r="G45" s="100">
        <f t="shared" si="0"/>
        <v>9.84</v>
      </c>
      <c r="H45" s="101"/>
      <c r="I45" s="100">
        <f>G45*H45</f>
        <v>0</v>
      </c>
      <c r="J45" s="39" t="s">
        <v>3336</v>
      </c>
      <c r="K45" s="40" t="s">
        <v>35</v>
      </c>
      <c r="L45" s="41"/>
      <c r="M45" s="42" t="str">
        <f>HYPERLINK("https://catalog.onliner.by/xmaslights/neonnight/nn303090", "https://catalog.onliner.by/xmaslights/neonnight/nn303090")</f>
        <v>https://catalog.onliner.by/xmaslights/neonnight/nn303090</v>
      </c>
      <c r="N45" s="42" t="str">
        <f>HYPERLINK("https://pronto.by/catalog/product/303-090.html", "https://pronto.by/catalog/product/303-090.html")</f>
        <v>https://pronto.by/catalog/product/303-090.html</v>
      </c>
    </row>
    <row r="46" spans="1:14" customFormat="1" ht="82.8">
      <c r="A46" s="35" t="s">
        <v>127</v>
      </c>
      <c r="B46" s="19" t="s">
        <v>128</v>
      </c>
      <c r="C46" s="20" t="s">
        <v>129</v>
      </c>
      <c r="D46" s="36" t="s">
        <v>28</v>
      </c>
      <c r="E46" s="37" t="s">
        <v>3260</v>
      </c>
      <c r="F46" s="43">
        <v>9.8400000000000016</v>
      </c>
      <c r="G46" s="100">
        <f t="shared" si="0"/>
        <v>9.84</v>
      </c>
      <c r="H46" s="101"/>
      <c r="I46" s="100">
        <f>G46*H46</f>
        <v>0</v>
      </c>
      <c r="J46" s="39" t="s">
        <v>3336</v>
      </c>
      <c r="K46" s="40" t="s">
        <v>35</v>
      </c>
      <c r="L46" s="41"/>
      <c r="M46" s="42" t="str">
        <f>HYPERLINK("https://catalog.onliner.by/xmaslights/neonnight/nn303091", "https://catalog.onliner.by/xmaslights/neonnight/nn303091")</f>
        <v>https://catalog.onliner.by/xmaslights/neonnight/nn303091</v>
      </c>
      <c r="N46" s="42" t="str">
        <f>HYPERLINK("https://pronto.by/catalog/product/303-091.html", "https://pronto.by/catalog/product/303-091.html")</f>
        <v>https://pronto.by/catalog/product/303-091.html</v>
      </c>
    </row>
    <row r="47" spans="1:14" customFormat="1" ht="55.2">
      <c r="A47" s="53" t="s">
        <v>3338</v>
      </c>
      <c r="B47" s="19" t="s">
        <v>3339</v>
      </c>
      <c r="C47" s="20" t="s">
        <v>3340</v>
      </c>
      <c r="D47" s="36" t="s">
        <v>28</v>
      </c>
      <c r="E47" s="37" t="s">
        <v>3279</v>
      </c>
      <c r="F47" s="43">
        <v>20.939999999999998</v>
      </c>
      <c r="G47" s="100">
        <f t="shared" si="0"/>
        <v>20.94</v>
      </c>
      <c r="H47" s="101"/>
      <c r="I47" s="100">
        <f>G47*H47</f>
        <v>0</v>
      </c>
      <c r="J47" s="39" t="s">
        <v>3336</v>
      </c>
      <c r="K47" s="40" t="s">
        <v>35</v>
      </c>
      <c r="L47" s="41"/>
      <c r="M47" s="44"/>
      <c r="N47" s="44"/>
    </row>
    <row r="48" spans="1:14" customFormat="1" ht="69">
      <c r="A48" s="35" t="s">
        <v>130</v>
      </c>
      <c r="B48" s="19" t="s">
        <v>131</v>
      </c>
      <c r="C48" s="20" t="s">
        <v>132</v>
      </c>
      <c r="D48" s="36" t="s">
        <v>28</v>
      </c>
      <c r="E48" s="37" t="s">
        <v>3277</v>
      </c>
      <c r="F48" s="43">
        <v>20.939999999999998</v>
      </c>
      <c r="G48" s="100">
        <f t="shared" si="0"/>
        <v>20.94</v>
      </c>
      <c r="H48" s="101"/>
      <c r="I48" s="100">
        <f>G48*H48</f>
        <v>0</v>
      </c>
      <c r="J48" s="39" t="s">
        <v>3336</v>
      </c>
      <c r="K48" s="40" t="s">
        <v>35</v>
      </c>
      <c r="L48" s="41"/>
      <c r="M48" s="42" t="str">
        <f>HYPERLINK("https://catalog.onliner.by/xmaslights/neonnight/nn303082", "https://catalog.onliner.by/xmaslights/neonnight/nn303082")</f>
        <v>https://catalog.onliner.by/xmaslights/neonnight/nn303082</v>
      </c>
      <c r="N48" s="42" t="str">
        <f>HYPERLINK("https://pronto.by/catalog/product/303-082.html", "https://pronto.by/catalog/product/303-082.html")</f>
        <v>https://pronto.by/catalog/product/303-082.html</v>
      </c>
    </row>
    <row r="49" spans="1:14" customFormat="1" ht="69">
      <c r="A49" s="35" t="s">
        <v>133</v>
      </c>
      <c r="B49" s="19" t="s">
        <v>134</v>
      </c>
      <c r="C49" s="20" t="s">
        <v>135</v>
      </c>
      <c r="D49" s="36" t="s">
        <v>28</v>
      </c>
      <c r="E49" s="37" t="s">
        <v>3261</v>
      </c>
      <c r="F49" s="43">
        <v>20.939999999999998</v>
      </c>
      <c r="G49" s="100">
        <f t="shared" si="0"/>
        <v>20.94</v>
      </c>
      <c r="H49" s="101"/>
      <c r="I49" s="100">
        <f>G49*H49</f>
        <v>0</v>
      </c>
      <c r="J49" s="39" t="s">
        <v>3336</v>
      </c>
      <c r="K49" s="40" t="s">
        <v>41</v>
      </c>
      <c r="L49" s="41"/>
      <c r="M49" s="42" t="str">
        <f>HYPERLINK("https://catalog.onliner.by/xmaslights/neonnight/nn304017", "https://catalog.onliner.by/xmaslights/neonnight/nn304017")</f>
        <v>https://catalog.onliner.by/xmaslights/neonnight/nn304017</v>
      </c>
      <c r="N49" s="42" t="str">
        <f>HYPERLINK("https://pronto.by/catalog/product/304-017.html", "https://pronto.by/catalog/product/304-017.html")</f>
        <v>https://pronto.by/catalog/product/304-017.html</v>
      </c>
    </row>
    <row r="50" spans="1:14" customFormat="1" ht="69">
      <c r="A50" s="35" t="s">
        <v>136</v>
      </c>
      <c r="B50" s="19" t="s">
        <v>137</v>
      </c>
      <c r="C50" s="20" t="s">
        <v>138</v>
      </c>
      <c r="D50" s="36" t="s">
        <v>28</v>
      </c>
      <c r="E50" s="37" t="s">
        <v>3287</v>
      </c>
      <c r="F50" s="43">
        <v>18.84</v>
      </c>
      <c r="G50" s="100">
        <f t="shared" si="0"/>
        <v>18.84</v>
      </c>
      <c r="H50" s="101"/>
      <c r="I50" s="100">
        <f>G50*H50</f>
        <v>0</v>
      </c>
      <c r="J50" s="39" t="s">
        <v>3336</v>
      </c>
      <c r="K50" s="40" t="s">
        <v>41</v>
      </c>
      <c r="L50" s="41"/>
      <c r="M50" s="42" t="str">
        <f>HYPERLINK("https://catalog.onliner.by/xmaslights/neonnight/304015", "https://catalog.onliner.by/xmaslights/neonnight/304015")</f>
        <v>https://catalog.onliner.by/xmaslights/neonnight/304015</v>
      </c>
      <c r="N50" s="42" t="str">
        <f>HYPERLINK("https://pronto.by/catalog/product/304-015.html", "https://pronto.by/catalog/product/304-015.html")</f>
        <v>https://pronto.by/catalog/product/304-015.html</v>
      </c>
    </row>
    <row r="51" spans="1:14" customFormat="1" ht="69">
      <c r="A51" s="35" t="s">
        <v>139</v>
      </c>
      <c r="B51" s="19" t="s">
        <v>140</v>
      </c>
      <c r="C51" s="20" t="s">
        <v>141</v>
      </c>
      <c r="D51" s="36" t="s">
        <v>28</v>
      </c>
      <c r="E51" s="37" t="s">
        <v>3260</v>
      </c>
      <c r="F51" s="43">
        <v>9.8400000000000016</v>
      </c>
      <c r="G51" s="100">
        <f t="shared" si="0"/>
        <v>9.84</v>
      </c>
      <c r="H51" s="101"/>
      <c r="I51" s="100">
        <f>G51*H51</f>
        <v>0</v>
      </c>
      <c r="J51" s="39" t="s">
        <v>3336</v>
      </c>
      <c r="K51" s="40" t="s">
        <v>35</v>
      </c>
      <c r="L51" s="41"/>
      <c r="M51" s="42" t="str">
        <f>HYPERLINK("https://catalog.onliner.by/xmaslights/neonnight/nn303074", "https://catalog.onliner.by/xmaslights/neonnight/nn303074")</f>
        <v>https://catalog.onliner.by/xmaslights/neonnight/nn303074</v>
      </c>
      <c r="N51" s="42" t="str">
        <f>HYPERLINK("https://pronto.by/catalog/product/303-074.html", "https://pronto.by/catalog/product/303-074.html")</f>
        <v>https://pronto.by/catalog/product/303-074.html</v>
      </c>
    </row>
    <row r="52" spans="1:14" customFormat="1" ht="69">
      <c r="A52" s="35" t="s">
        <v>142</v>
      </c>
      <c r="B52" s="19" t="s">
        <v>143</v>
      </c>
      <c r="C52" s="20" t="s">
        <v>144</v>
      </c>
      <c r="D52" s="36" t="s">
        <v>28</v>
      </c>
      <c r="E52" s="37" t="s">
        <v>3277</v>
      </c>
      <c r="F52" s="43">
        <v>8.34</v>
      </c>
      <c r="G52" s="100">
        <f t="shared" si="0"/>
        <v>8.34</v>
      </c>
      <c r="H52" s="101"/>
      <c r="I52" s="100">
        <f>G52*H52</f>
        <v>0</v>
      </c>
      <c r="J52" s="39" t="s">
        <v>3336</v>
      </c>
      <c r="K52" s="40" t="s">
        <v>41</v>
      </c>
      <c r="L52" s="41"/>
      <c r="M52" s="42" t="str">
        <f>HYPERLINK("https://catalog.onliner.by/christmasdecor/neonnight/nn304012", "https://catalog.onliner.by/christmasdecor/neonnight/nn304012")</f>
        <v>https://catalog.onliner.by/christmasdecor/neonnight/nn304012</v>
      </c>
      <c r="N52" s="42" t="str">
        <f>HYPERLINK("https://pronto.by/catalog/product/304-012.html", "https://pronto.by/catalog/product/304-012.html")</f>
        <v>https://pronto.by/catalog/product/304-012.html</v>
      </c>
    </row>
    <row r="53" spans="1:14" customFormat="1" ht="69">
      <c r="A53" s="35" t="s">
        <v>145</v>
      </c>
      <c r="B53" s="19" t="s">
        <v>146</v>
      </c>
      <c r="C53" s="20" t="s">
        <v>147</v>
      </c>
      <c r="D53" s="36" t="s">
        <v>28</v>
      </c>
      <c r="E53" s="37" t="s">
        <v>3277</v>
      </c>
      <c r="F53" s="43">
        <v>8.34</v>
      </c>
      <c r="G53" s="100">
        <f t="shared" si="0"/>
        <v>8.34</v>
      </c>
      <c r="H53" s="101"/>
      <c r="I53" s="100">
        <f>G53*H53</f>
        <v>0</v>
      </c>
      <c r="J53" s="39" t="s">
        <v>3336</v>
      </c>
      <c r="K53" s="40" t="s">
        <v>41</v>
      </c>
      <c r="L53" s="41"/>
      <c r="M53" s="42" t="str">
        <f>HYPERLINK("https://catalog.onliner.by/christmasdecor/neonnight/nn304011", "https://catalog.onliner.by/christmasdecor/neonnight/nn304011")</f>
        <v>https://catalog.onliner.by/christmasdecor/neonnight/nn304011</v>
      </c>
      <c r="N53" s="42" t="str">
        <f>HYPERLINK("https://pronto.by/catalog/product/304-011.html", "https://pronto.by/catalog/product/304-011.html")</f>
        <v>https://pronto.by/catalog/product/304-011.html</v>
      </c>
    </row>
    <row r="54" spans="1:14" customFormat="1" ht="69">
      <c r="A54" s="35" t="s">
        <v>148</v>
      </c>
      <c r="B54" s="19" t="s">
        <v>149</v>
      </c>
      <c r="C54" s="20" t="s">
        <v>150</v>
      </c>
      <c r="D54" s="36" t="s">
        <v>28</v>
      </c>
      <c r="E54" s="37" t="s">
        <v>3287</v>
      </c>
      <c r="F54" s="43">
        <v>12.540000000000001</v>
      </c>
      <c r="G54" s="100">
        <f t="shared" si="0"/>
        <v>12.54</v>
      </c>
      <c r="H54" s="101"/>
      <c r="I54" s="100">
        <f>G54*H54</f>
        <v>0</v>
      </c>
      <c r="J54" s="39" t="s">
        <v>3336</v>
      </c>
      <c r="K54" s="40" t="s">
        <v>35</v>
      </c>
      <c r="L54" s="41"/>
      <c r="M54" s="42" t="str">
        <f>HYPERLINK("https://catalog.onliner.by/xmaslights/neonnight/nn304005", "https://catalog.onliner.by/xmaslights/neonnight/nn304005")</f>
        <v>https://catalog.onliner.by/xmaslights/neonnight/nn304005</v>
      </c>
      <c r="N54" s="42" t="str">
        <f>HYPERLINK("https://pronto.by/catalog/product/304-005.html", "https://pronto.by/catalog/product/304-005.html")</f>
        <v>https://pronto.by/catalog/product/304-005.html</v>
      </c>
    </row>
    <row r="55" spans="1:14" customFormat="1" ht="41.4">
      <c r="A55" s="35" t="s">
        <v>151</v>
      </c>
      <c r="B55" s="19" t="s">
        <v>152</v>
      </c>
      <c r="C55" s="20" t="s">
        <v>153</v>
      </c>
      <c r="D55" s="36" t="s">
        <v>28</v>
      </c>
      <c r="E55" s="37" t="s">
        <v>3281</v>
      </c>
      <c r="F55" s="43">
        <v>42.48</v>
      </c>
      <c r="G55" s="100">
        <f t="shared" si="0"/>
        <v>42.48</v>
      </c>
      <c r="H55" s="101"/>
      <c r="I55" s="100">
        <f>G55*H55</f>
        <v>0</v>
      </c>
      <c r="J55" s="39" t="s">
        <v>3336</v>
      </c>
      <c r="K55" s="40" t="s">
        <v>35</v>
      </c>
      <c r="L55" s="41"/>
      <c r="M55" s="42" t="str">
        <f>HYPERLINK("https://catalog.onliner.by/xmaslights/neonnight/303076", "https://catalog.onliner.by/xmaslights/neonnight/303076")</f>
        <v>https://catalog.onliner.by/xmaslights/neonnight/303076</v>
      </c>
      <c r="N55" s="42" t="str">
        <f>HYPERLINK("https://pronto.by/catalog/product/303-076.html", "https://pronto.by/catalog/product/303-076.html")</f>
        <v>https://pronto.by/catalog/product/303-076.html</v>
      </c>
    </row>
    <row r="56" spans="1:14" customFormat="1" ht="41.4">
      <c r="A56" s="35" t="s">
        <v>154</v>
      </c>
      <c r="B56" s="19" t="s">
        <v>155</v>
      </c>
      <c r="C56" s="20" t="s">
        <v>156</v>
      </c>
      <c r="D56" s="36" t="s">
        <v>28</v>
      </c>
      <c r="E56" s="37" t="s">
        <v>3292</v>
      </c>
      <c r="F56" s="43">
        <v>42.48</v>
      </c>
      <c r="G56" s="100">
        <f t="shared" si="0"/>
        <v>42.48</v>
      </c>
      <c r="H56" s="101"/>
      <c r="I56" s="100">
        <f>G56*H56</f>
        <v>0</v>
      </c>
      <c r="J56" s="39" t="s">
        <v>3336</v>
      </c>
      <c r="K56" s="40" t="s">
        <v>41</v>
      </c>
      <c r="L56" s="41"/>
      <c r="M56" s="42" t="str">
        <f>HYPERLINK("https://catalog.onliner.by/xmaslights/neonnight/303079", "https://catalog.onliner.by/xmaslights/neonnight/303079")</f>
        <v>https://catalog.onliner.by/xmaslights/neonnight/303079</v>
      </c>
      <c r="N56" s="42" t="str">
        <f>HYPERLINK("https://pronto.by/catalog/product/303-079.html", "https://pronto.by/catalog/product/303-079.html")</f>
        <v>https://pronto.by/catalog/product/303-079.html</v>
      </c>
    </row>
    <row r="57" spans="1:14" customFormat="1" ht="69">
      <c r="A57" s="35" t="s">
        <v>157</v>
      </c>
      <c r="B57" s="19" t="s">
        <v>158</v>
      </c>
      <c r="C57" s="20" t="s">
        <v>159</v>
      </c>
      <c r="D57" s="36" t="s">
        <v>28</v>
      </c>
      <c r="E57" s="37" t="s">
        <v>3260</v>
      </c>
      <c r="F57" s="43">
        <v>12.540000000000001</v>
      </c>
      <c r="G57" s="100">
        <f t="shared" si="0"/>
        <v>12.54</v>
      </c>
      <c r="H57" s="101"/>
      <c r="I57" s="100">
        <f>G57*H57</f>
        <v>0</v>
      </c>
      <c r="J57" s="39" t="s">
        <v>3336</v>
      </c>
      <c r="K57" s="40" t="s">
        <v>35</v>
      </c>
      <c r="L57" s="41"/>
      <c r="M57" s="42" t="str">
        <f>HYPERLINK("https://catalog.onliner.by/xmaslights/neonnight/nn303094", "https://catalog.onliner.by/xmaslights/neonnight/nn303094")</f>
        <v>https://catalog.onliner.by/xmaslights/neonnight/nn303094</v>
      </c>
      <c r="N57" s="42" t="str">
        <f>HYPERLINK("https://pronto.by/catalog/product/303-094.html", "https://pronto.by/catalog/product/303-094.html")</f>
        <v>https://pronto.by/catalog/product/303-094.html</v>
      </c>
    </row>
    <row r="58" spans="1:14" customFormat="1" ht="69">
      <c r="A58" s="35" t="s">
        <v>160</v>
      </c>
      <c r="B58" s="19" t="s">
        <v>161</v>
      </c>
      <c r="C58" s="20" t="s">
        <v>162</v>
      </c>
      <c r="D58" s="36" t="s">
        <v>28</v>
      </c>
      <c r="E58" s="37" t="s">
        <v>3258</v>
      </c>
      <c r="F58" s="43">
        <v>5.88</v>
      </c>
      <c r="G58" s="100">
        <f t="shared" si="0"/>
        <v>5.88</v>
      </c>
      <c r="H58" s="101"/>
      <c r="I58" s="100">
        <f>G58*H58</f>
        <v>0</v>
      </c>
      <c r="J58" s="39" t="s">
        <v>3336</v>
      </c>
      <c r="K58" s="40" t="s">
        <v>41</v>
      </c>
      <c r="L58" s="41"/>
      <c r="M58" s="42" t="str">
        <f>HYPERLINK("https://catalog.onliner.by/xmaslights/neonnight/nn303073", "https://catalog.onliner.by/xmaslights/neonnight/nn303073")</f>
        <v>https://catalog.onliner.by/xmaslights/neonnight/nn303073</v>
      </c>
      <c r="N58" s="42" t="str">
        <f>HYPERLINK("https://pronto.by/catalog/product/303-073.html", "https://pronto.by/catalog/product/303-073.html")</f>
        <v>https://pronto.by/catalog/product/303-073.html</v>
      </c>
    </row>
    <row r="59" spans="1:14" customFormat="1" ht="69">
      <c r="A59" s="35" t="s">
        <v>163</v>
      </c>
      <c r="B59" s="19" t="s">
        <v>164</v>
      </c>
      <c r="C59" s="20" t="s">
        <v>165</v>
      </c>
      <c r="D59" s="36" t="s">
        <v>28</v>
      </c>
      <c r="E59" s="37" t="s">
        <v>3279</v>
      </c>
      <c r="F59" s="43">
        <v>9.8400000000000016</v>
      </c>
      <c r="G59" s="100">
        <f t="shared" si="0"/>
        <v>9.84</v>
      </c>
      <c r="H59" s="101"/>
      <c r="I59" s="100">
        <f>G59*H59</f>
        <v>0</v>
      </c>
      <c r="J59" s="39" t="s">
        <v>3336</v>
      </c>
      <c r="K59" s="40" t="s">
        <v>35</v>
      </c>
      <c r="L59" s="41"/>
      <c r="M59" s="42" t="str">
        <f>HYPERLINK("https://catalog.onliner.by/xmaslights/neonnight/nn303098", "https://catalog.onliner.by/xmaslights/neonnight/nn303098")</f>
        <v>https://catalog.onliner.by/xmaslights/neonnight/nn303098</v>
      </c>
      <c r="N59" s="42" t="str">
        <f>HYPERLINK("https://pronto.by/catalog/product/303-098.html", "https://pronto.by/catalog/product/303-098.html")</f>
        <v>https://pronto.by/catalog/product/303-098.html</v>
      </c>
    </row>
    <row r="60" spans="1:14" customFormat="1" ht="55.2">
      <c r="A60" s="35" t="s">
        <v>166</v>
      </c>
      <c r="B60" s="19" t="s">
        <v>167</v>
      </c>
      <c r="C60" s="20" t="s">
        <v>168</v>
      </c>
      <c r="D60" s="36" t="s">
        <v>28</v>
      </c>
      <c r="E60" s="37" t="s">
        <v>3297</v>
      </c>
      <c r="F60" s="43">
        <v>29.340000000000003</v>
      </c>
      <c r="G60" s="100">
        <f t="shared" si="0"/>
        <v>29.34</v>
      </c>
      <c r="H60" s="101"/>
      <c r="I60" s="100">
        <f>G60*H60</f>
        <v>0</v>
      </c>
      <c r="J60" s="39" t="s">
        <v>3336</v>
      </c>
      <c r="K60" s="40" t="s">
        <v>35</v>
      </c>
      <c r="L60" s="41"/>
      <c r="M60" s="42" t="str">
        <f>HYPERLINK("https://catalog.onliner.by/xmaslights/neonnight/nn303078", "https://catalog.onliner.by/xmaslights/neonnight/nn303078")</f>
        <v>https://catalog.onliner.by/xmaslights/neonnight/nn303078</v>
      </c>
      <c r="N60" s="42" t="str">
        <f>HYPERLINK("https://pronto.by/catalog/product/303-078.html", "https://pronto.by/catalog/product/303-078.html")</f>
        <v>https://pronto.by/catalog/product/303-078.html</v>
      </c>
    </row>
    <row r="61" spans="1:14" customFormat="1" ht="71.400000000000006">
      <c r="A61" s="35" t="s">
        <v>169</v>
      </c>
      <c r="B61" s="19" t="s">
        <v>170</v>
      </c>
      <c r="C61" s="20" t="s">
        <v>171</v>
      </c>
      <c r="D61" s="36" t="s">
        <v>28</v>
      </c>
      <c r="E61" s="37" t="s">
        <v>3280</v>
      </c>
      <c r="F61" s="43">
        <v>38.22</v>
      </c>
      <c r="G61" s="100">
        <f t="shared" si="0"/>
        <v>38.22</v>
      </c>
      <c r="H61" s="101"/>
      <c r="I61" s="100">
        <f>G61*H61</f>
        <v>0</v>
      </c>
      <c r="J61" s="39" t="s">
        <v>3336</v>
      </c>
      <c r="K61" s="40" t="s">
        <v>35</v>
      </c>
      <c r="L61" s="41"/>
      <c r="M61" s="42" t="str">
        <f>HYPERLINK("https://catalog.onliner.by/xmaslights/neonnight/4601004283961", "https://catalog.onliner.by/xmaslights/neonnight/4601004283961")</f>
        <v>https://catalog.onliner.by/xmaslights/neonnight/4601004283961</v>
      </c>
      <c r="N61" s="42" t="str">
        <f>HYPERLINK("https://pronto.by/catalog/prazdnichnaya-svetotehnika/home-konechnye-potrebiteli/girlyandy-ekonom/18772/304-010.html", "https://pronto.by/catalog/prazdnichnaya-svetotehnika/home-konechnye-potrebiteli/girlyandy-ekonom/18772/304-010.html")</f>
        <v>https://pronto.by/catalog/prazdnichnaya-svetotehnika/home-konechnye-potrebiteli/girlyandy-ekonom/18772/304-010.html</v>
      </c>
    </row>
    <row r="62" spans="1:14" customFormat="1" ht="71.400000000000006">
      <c r="A62" s="35" t="s">
        <v>172</v>
      </c>
      <c r="B62" s="19" t="s">
        <v>173</v>
      </c>
      <c r="C62" s="20" t="s">
        <v>174</v>
      </c>
      <c r="D62" s="36" t="s">
        <v>28</v>
      </c>
      <c r="E62" s="37" t="s">
        <v>3280</v>
      </c>
      <c r="F62" s="43">
        <v>21.54</v>
      </c>
      <c r="G62" s="100">
        <f t="shared" si="0"/>
        <v>21.54</v>
      </c>
      <c r="H62" s="101"/>
      <c r="I62" s="100">
        <f>G62*H62</f>
        <v>0</v>
      </c>
      <c r="J62" s="39" t="s">
        <v>3336</v>
      </c>
      <c r="K62" s="40" t="s">
        <v>35</v>
      </c>
      <c r="L62" s="41"/>
      <c r="M62" s="44"/>
      <c r="N62" s="42" t="str">
        <f>HYPERLINK("https://pronto.by/catalog/prazdnichnaya-svetotehnika/home-konechnye-potrebiteli/girlyandy-ekonom/18772/303-080.html", "https://pronto.by/catalog/prazdnichnaya-svetotehnika/home-konechnye-potrebiteli/girlyandy-ekonom/18772/303-080.html")</f>
        <v>https://pronto.by/catalog/prazdnichnaya-svetotehnika/home-konechnye-potrebiteli/girlyandy-ekonom/18772/303-080.html</v>
      </c>
    </row>
    <row r="63" spans="1:14" customFormat="1" ht="69">
      <c r="A63" s="35" t="s">
        <v>175</v>
      </c>
      <c r="B63" s="19" t="s">
        <v>176</v>
      </c>
      <c r="C63" s="20" t="s">
        <v>177</v>
      </c>
      <c r="D63" s="36" t="s">
        <v>28</v>
      </c>
      <c r="E63" s="37" t="s">
        <v>3279</v>
      </c>
      <c r="F63" s="43">
        <v>20.939999999999998</v>
      </c>
      <c r="G63" s="100">
        <f t="shared" si="0"/>
        <v>20.94</v>
      </c>
      <c r="H63" s="101"/>
      <c r="I63" s="100">
        <f>G63*H63</f>
        <v>0</v>
      </c>
      <c r="J63" s="39" t="s">
        <v>3336</v>
      </c>
      <c r="K63" s="40" t="s">
        <v>35</v>
      </c>
      <c r="L63" s="41"/>
      <c r="M63" s="42" t="str">
        <f>HYPERLINK("https://catalog.onliner.by/xmaslights/neonnight/nn303077", "https://catalog.onliner.by/xmaslights/neonnight/nn303077")</f>
        <v>https://catalog.onliner.by/xmaslights/neonnight/nn303077</v>
      </c>
      <c r="N63" s="42" t="str">
        <f>HYPERLINK("https://pronto.by/catalog/product/303-077.html", "https://pronto.by/catalog/product/303-077.html")</f>
        <v>https://pronto.by/catalog/product/303-077.html</v>
      </c>
    </row>
    <row r="64" spans="1:14" customFormat="1" ht="55.2">
      <c r="A64" s="35" t="s">
        <v>178</v>
      </c>
      <c r="B64" s="19" t="s">
        <v>179</v>
      </c>
      <c r="C64" s="20" t="s">
        <v>180</v>
      </c>
      <c r="D64" s="36" t="s">
        <v>28</v>
      </c>
      <c r="E64" s="37" t="s">
        <v>3279</v>
      </c>
      <c r="F64" s="43">
        <v>20.939999999999998</v>
      </c>
      <c r="G64" s="100">
        <f t="shared" si="0"/>
        <v>20.94</v>
      </c>
      <c r="H64" s="101"/>
      <c r="I64" s="100">
        <f>G64*H64</f>
        <v>0</v>
      </c>
      <c r="J64" s="39" t="s">
        <v>3336</v>
      </c>
      <c r="K64" s="40" t="s">
        <v>35</v>
      </c>
      <c r="L64" s="41"/>
      <c r="M64" s="42" t="str">
        <f>HYPERLINK("https://catalog.onliner.by/xmaslights/neonnight/nn303089", "https://catalog.onliner.by/xmaslights/neonnight/nn303089")</f>
        <v>https://catalog.onliner.by/xmaslights/neonnight/nn303089</v>
      </c>
      <c r="N64" s="42" t="str">
        <f>HYPERLINK("https://pronto.by/catalog/product/303-089.html", "https://pronto.by/catalog/product/303-089.html")</f>
        <v>https://pronto.by/catalog/product/303-089.html</v>
      </c>
    </row>
    <row r="65" spans="1:14" customFormat="1" ht="55.2">
      <c r="A65" s="35" t="s">
        <v>3341</v>
      </c>
      <c r="B65" s="19" t="s">
        <v>3342</v>
      </c>
      <c r="C65" s="20" t="s">
        <v>3343</v>
      </c>
      <c r="D65" s="36" t="s">
        <v>28</v>
      </c>
      <c r="E65" s="37" t="s">
        <v>3277</v>
      </c>
      <c r="F65" s="43">
        <v>20.939999999999998</v>
      </c>
      <c r="G65" s="100">
        <f t="shared" si="0"/>
        <v>20.94</v>
      </c>
      <c r="H65" s="101"/>
      <c r="I65" s="100">
        <f>G65*H65</f>
        <v>0</v>
      </c>
      <c r="J65" s="39" t="s">
        <v>3336</v>
      </c>
      <c r="K65" s="40" t="s">
        <v>35</v>
      </c>
      <c r="L65" s="41"/>
      <c r="M65" s="42" t="str">
        <f>HYPERLINK("https://catalog.onliner.by/xmaslights/neonnight/nn303099", "https://catalog.onliner.by/xmaslights/neonnight/nn303099")</f>
        <v>https://catalog.onliner.by/xmaslights/neonnight/nn303099</v>
      </c>
      <c r="N65" s="42" t="str">
        <f>HYPERLINK("https://pronto.by/catalog/product/303-099.html", "https://pronto.by/catalog/product/303-099.html")</f>
        <v>https://pronto.by/catalog/product/303-099.html</v>
      </c>
    </row>
    <row r="66" spans="1:14" customFormat="1" ht="71.400000000000006">
      <c r="A66" s="35" t="s">
        <v>181</v>
      </c>
      <c r="B66" s="19" t="s">
        <v>182</v>
      </c>
      <c r="C66" s="20" t="s">
        <v>183</v>
      </c>
      <c r="D66" s="36" t="s">
        <v>28</v>
      </c>
      <c r="E66" s="37" t="s">
        <v>3279</v>
      </c>
      <c r="F66" s="43">
        <v>18.84</v>
      </c>
      <c r="G66" s="100">
        <f t="shared" si="0"/>
        <v>18.84</v>
      </c>
      <c r="H66" s="101"/>
      <c r="I66" s="100">
        <f>G66*H66</f>
        <v>0</v>
      </c>
      <c r="J66" s="39" t="s">
        <v>3336</v>
      </c>
      <c r="K66" s="40" t="s">
        <v>35</v>
      </c>
      <c r="L66" s="41"/>
      <c r="M66" s="42" t="str">
        <f>HYPERLINK("https://catalog.onliner.by/xmaslights/neonnight/nn304001", "https://catalog.onliner.by/xmaslights/neonnight/nn304001")</f>
        <v>https://catalog.onliner.by/xmaslights/neonnight/nn304001</v>
      </c>
      <c r="N66" s="42" t="str">
        <f>HYPERLINK("https://pronto.by/catalog/prazdnichnaya-svetotehnika/home-konechnye-potrebiteli/girlyandy-ekonom/18772/304-001.html", "https://pronto.by/catalog/prazdnichnaya-svetotehnika/home-konechnye-potrebiteli/girlyandy-ekonom/18772/304-001.html")</f>
        <v>https://pronto.by/catalog/prazdnichnaya-svetotehnika/home-konechnye-potrebiteli/girlyandy-ekonom/18772/304-001.html</v>
      </c>
    </row>
    <row r="67" spans="1:14" customFormat="1" ht="71.400000000000006">
      <c r="A67" s="35" t="s">
        <v>184</v>
      </c>
      <c r="B67" s="19" t="s">
        <v>185</v>
      </c>
      <c r="C67" s="20" t="s">
        <v>186</v>
      </c>
      <c r="D67" s="36" t="s">
        <v>28</v>
      </c>
      <c r="E67" s="37" t="s">
        <v>3297</v>
      </c>
      <c r="F67" s="43">
        <v>29.340000000000003</v>
      </c>
      <c r="G67" s="100">
        <f t="shared" si="0"/>
        <v>29.34</v>
      </c>
      <c r="H67" s="101"/>
      <c r="I67" s="100">
        <f>G67*H67</f>
        <v>0</v>
      </c>
      <c r="J67" s="39" t="s">
        <v>3336</v>
      </c>
      <c r="K67" s="40" t="s">
        <v>35</v>
      </c>
      <c r="L67" s="41"/>
      <c r="M67" s="42" t="str">
        <f>HYPERLINK("https://catalog.onliner.by/xmaslights/neonnight/304007nn", "https://catalog.onliner.by/xmaslights/neonnight/304007nn")</f>
        <v>https://catalog.onliner.by/xmaslights/neonnight/304007nn</v>
      </c>
      <c r="N67" s="42" t="str">
        <f>HYPERLINK("https://pronto.by/catalog/prazdnichnaya-svetotehnika/home-konechnye-potrebiteli/girlyandy-ekonom/18772/304-007.html", "https://pronto.by/catalog/prazdnichnaya-svetotehnika/home-konechnye-potrebiteli/girlyandy-ekonom/18772/304-007.html")</f>
        <v>https://pronto.by/catalog/prazdnichnaya-svetotehnika/home-konechnye-potrebiteli/girlyandy-ekonom/18772/304-007.html</v>
      </c>
    </row>
    <row r="68" spans="1:14" customFormat="1" ht="71.400000000000006">
      <c r="A68" s="35" t="s">
        <v>187</v>
      </c>
      <c r="B68" s="19" t="s">
        <v>188</v>
      </c>
      <c r="C68" s="20" t="s">
        <v>189</v>
      </c>
      <c r="D68" s="36" t="s">
        <v>28</v>
      </c>
      <c r="E68" s="37" t="s">
        <v>3297</v>
      </c>
      <c r="F68" s="43">
        <v>29.340000000000003</v>
      </c>
      <c r="G68" s="100">
        <f t="shared" si="0"/>
        <v>29.34</v>
      </c>
      <c r="H68" s="101"/>
      <c r="I68" s="100">
        <f>G68*H68</f>
        <v>0</v>
      </c>
      <c r="J68" s="39" t="s">
        <v>3336</v>
      </c>
      <c r="K68" s="40" t="s">
        <v>35</v>
      </c>
      <c r="L68" s="41"/>
      <c r="M68" s="42" t="str">
        <f>HYPERLINK("https://catalog.onliner.by/xmaslights/neonnight/nn304008", "https://catalog.onliner.by/xmaslights/neonnight/nn304008")</f>
        <v>https://catalog.onliner.by/xmaslights/neonnight/nn304008</v>
      </c>
      <c r="N68" s="42" t="str">
        <f>HYPERLINK("https://pronto.by/catalog/prazdnichnaya-svetotehnika/home-konechnye-potrebiteli/girlyandy-ekonom/18772/304-008.html", "https://pronto.by/catalog/prazdnichnaya-svetotehnika/home-konechnye-potrebiteli/girlyandy-ekonom/18772/304-008.html")</f>
        <v>https://pronto.by/catalog/prazdnichnaya-svetotehnika/home-konechnye-potrebiteli/girlyandy-ekonom/18772/304-008.html</v>
      </c>
    </row>
    <row r="69" spans="1:14" customFormat="1" ht="71.400000000000006">
      <c r="A69" s="35" t="s">
        <v>190</v>
      </c>
      <c r="B69" s="19" t="s">
        <v>191</v>
      </c>
      <c r="C69" s="20" t="s">
        <v>192</v>
      </c>
      <c r="D69" s="36" t="s">
        <v>28</v>
      </c>
      <c r="E69" s="37" t="s">
        <v>3280</v>
      </c>
      <c r="F69" s="43">
        <v>38.22</v>
      </c>
      <c r="G69" s="100">
        <f t="shared" si="0"/>
        <v>38.22</v>
      </c>
      <c r="H69" s="101"/>
      <c r="I69" s="100">
        <f>G69*H69</f>
        <v>0</v>
      </c>
      <c r="J69" s="39" t="s">
        <v>3336</v>
      </c>
      <c r="K69" s="40" t="s">
        <v>35</v>
      </c>
      <c r="L69" s="41"/>
      <c r="M69" s="42" t="str">
        <f>HYPERLINK("https://catalog.onliner.by/xmaslights/neonnight/nn304009", "https://catalog.onliner.by/xmaslights/neonnight/nn304009")</f>
        <v>https://catalog.onliner.by/xmaslights/neonnight/nn304009</v>
      </c>
      <c r="N69" s="42" t="str">
        <f>HYPERLINK("https://pronto.by/catalog/prazdnichnaya-svetotehnika/home-konechnye-potrebiteli/girlyandy-ekonom/18772/304-009.html", "https://pronto.by/catalog/prazdnichnaya-svetotehnika/home-konechnye-potrebiteli/girlyandy-ekonom/18772/304-009.html")</f>
        <v>https://pronto.by/catalog/prazdnichnaya-svetotehnika/home-konechnye-potrebiteli/girlyandy-ekonom/18772/304-009.html</v>
      </c>
    </row>
    <row r="70" spans="1:14" customFormat="1" ht="15.6">
      <c r="A70" s="80" t="s">
        <v>3344</v>
      </c>
      <c r="B70" s="67"/>
      <c r="C70" s="67"/>
      <c r="D70" s="32"/>
      <c r="E70" s="32"/>
      <c r="F70" s="32"/>
      <c r="G70" s="52"/>
      <c r="H70" s="52"/>
      <c r="I70" s="52"/>
      <c r="J70" s="32"/>
      <c r="K70" s="32"/>
      <c r="L70" s="33"/>
      <c r="M70" s="32"/>
      <c r="N70" s="34"/>
    </row>
    <row r="71" spans="1:14" customFormat="1" ht="41.4">
      <c r="A71" s="35" t="s">
        <v>193</v>
      </c>
      <c r="B71" s="19" t="s">
        <v>194</v>
      </c>
      <c r="C71" s="20" t="s">
        <v>3345</v>
      </c>
      <c r="D71" s="36" t="s">
        <v>28</v>
      </c>
      <c r="E71" s="37" t="s">
        <v>3309</v>
      </c>
      <c r="F71" s="43">
        <v>16.740000000000002</v>
      </c>
      <c r="G71" s="100">
        <f t="shared" si="0"/>
        <v>16.739999999999998</v>
      </c>
      <c r="H71" s="101"/>
      <c r="I71" s="100">
        <f>G71*H71</f>
        <v>0</v>
      </c>
      <c r="J71" s="39" t="s">
        <v>3336</v>
      </c>
      <c r="K71" s="40" t="s">
        <v>35</v>
      </c>
      <c r="L71" s="41"/>
      <c r="M71" s="42" t="str">
        <f>HYPERLINK("https://catalog.onliner.by/xmaslights/neonnight/315975", "https://catalog.onliner.by/xmaslights/neonnight/315975")</f>
        <v>https://catalog.onliner.by/xmaslights/neonnight/315975</v>
      </c>
      <c r="N71" s="42" t="str">
        <f>HYPERLINK("https://pronto.by/catalog/product/315-975.html", "https://pronto.by/catalog/product/315-975.html")</f>
        <v>https://pronto.by/catalog/product/315-975.html</v>
      </c>
    </row>
    <row r="72" spans="1:14" customFormat="1" ht="41.4">
      <c r="A72" s="35" t="s">
        <v>195</v>
      </c>
      <c r="B72" s="19" t="s">
        <v>196</v>
      </c>
      <c r="C72" s="20" t="s">
        <v>3346</v>
      </c>
      <c r="D72" s="36" t="s">
        <v>28</v>
      </c>
      <c r="E72" s="37" t="s">
        <v>3309</v>
      </c>
      <c r="F72" s="43">
        <v>16.740000000000002</v>
      </c>
      <c r="G72" s="100">
        <f t="shared" si="0"/>
        <v>16.739999999999998</v>
      </c>
      <c r="H72" s="101"/>
      <c r="I72" s="100">
        <f>G72*H72</f>
        <v>0</v>
      </c>
      <c r="J72" s="39" t="s">
        <v>3336</v>
      </c>
      <c r="K72" s="40" t="s">
        <v>35</v>
      </c>
      <c r="L72" s="41"/>
      <c r="M72" s="42" t="str">
        <f>HYPERLINK("https://catalog.onliner.by/xmaslights/neonnight/315976", "https://catalog.onliner.by/xmaslights/neonnight/315976")</f>
        <v>https://catalog.onliner.by/xmaslights/neonnight/315976</v>
      </c>
      <c r="N72" s="42" t="str">
        <f>HYPERLINK("https://pronto.by/catalog/product/315-976.html", "https://pronto.by/catalog/product/315-976.html")</f>
        <v>https://pronto.by/catalog/product/315-976.html</v>
      </c>
    </row>
    <row r="73" spans="1:14" customFormat="1" ht="69">
      <c r="A73" s="35" t="s">
        <v>197</v>
      </c>
      <c r="B73" s="19" t="s">
        <v>198</v>
      </c>
      <c r="C73" s="20" t="s">
        <v>3347</v>
      </c>
      <c r="D73" s="36" t="s">
        <v>28</v>
      </c>
      <c r="E73" s="37" t="s">
        <v>3267</v>
      </c>
      <c r="F73" s="43">
        <v>6.660000000000001</v>
      </c>
      <c r="G73" s="100">
        <f t="shared" si="0"/>
        <v>6.66</v>
      </c>
      <c r="H73" s="101"/>
      <c r="I73" s="100">
        <f>G73*H73</f>
        <v>0</v>
      </c>
      <c r="J73" s="39" t="s">
        <v>3336</v>
      </c>
      <c r="K73" s="40" t="s">
        <v>35</v>
      </c>
      <c r="L73" s="41"/>
      <c r="M73" s="42" t="str">
        <f>HYPERLINK("https://catalog.onliner.by/xmaslights/neonnight/nn3030091", "https://catalog.onliner.by/xmaslights/neonnight/nn3030091")</f>
        <v>https://catalog.onliner.by/xmaslights/neonnight/nn3030091</v>
      </c>
      <c r="N73" s="42" t="str">
        <f>HYPERLINK("https://pronto.by/catalog/product/303-009-1.html", "https://pronto.by/catalog/product/303-009-1.html")</f>
        <v>https://pronto.by/catalog/product/303-009-1.html</v>
      </c>
    </row>
    <row r="74" spans="1:14" customFormat="1" ht="55.2">
      <c r="A74" s="35" t="s">
        <v>199</v>
      </c>
      <c r="B74" s="19" t="s">
        <v>200</v>
      </c>
      <c r="C74" s="20" t="s">
        <v>3348</v>
      </c>
      <c r="D74" s="36" t="s">
        <v>28</v>
      </c>
      <c r="E74" s="37" t="s">
        <v>3267</v>
      </c>
      <c r="F74" s="43">
        <v>6.660000000000001</v>
      </c>
      <c r="G74" s="100">
        <f t="shared" si="0"/>
        <v>6.66</v>
      </c>
      <c r="H74" s="101"/>
      <c r="I74" s="100">
        <f>G74*H74</f>
        <v>0</v>
      </c>
      <c r="J74" s="39" t="s">
        <v>3336</v>
      </c>
      <c r="K74" s="40" t="s">
        <v>41</v>
      </c>
      <c r="L74" s="41"/>
      <c r="M74" s="42" t="str">
        <f>HYPERLINK("https://catalog.onliner.by/xmaslights/neonnight/nn303006", "https://catalog.onliner.by/xmaslights/neonnight/nn303006")</f>
        <v>https://catalog.onliner.by/xmaslights/neonnight/nn303006</v>
      </c>
      <c r="N74" s="42" t="str">
        <f>HYPERLINK("https://pronto.by/catalog/product/303-006.html", "https://pronto.by/catalog/product/303-006.html")</f>
        <v>https://pronto.by/catalog/product/303-006.html</v>
      </c>
    </row>
    <row r="75" spans="1:14" customFormat="1" ht="41.4">
      <c r="A75" s="35" t="s">
        <v>201</v>
      </c>
      <c r="B75" s="19" t="s">
        <v>202</v>
      </c>
      <c r="C75" s="20" t="s">
        <v>3349</v>
      </c>
      <c r="D75" s="36" t="s">
        <v>28</v>
      </c>
      <c r="E75" s="37" t="s">
        <v>3296</v>
      </c>
      <c r="F75" s="43">
        <v>12.540000000000001</v>
      </c>
      <c r="G75" s="100">
        <f t="shared" si="0"/>
        <v>12.54</v>
      </c>
      <c r="H75" s="101"/>
      <c r="I75" s="100">
        <f>G75*H75</f>
        <v>0</v>
      </c>
      <c r="J75" s="39" t="s">
        <v>3336</v>
      </c>
      <c r="K75" s="40" t="s">
        <v>35</v>
      </c>
      <c r="L75" s="41"/>
      <c r="M75" s="42" t="str">
        <f>HYPERLINK("https://catalog.onliner.by/xmaslights/neonnight/nn315965", "https://catalog.onliner.by/xmaslights/neonnight/nn315965")</f>
        <v>https://catalog.onliner.by/xmaslights/neonnight/nn315965</v>
      </c>
      <c r="N75" s="42" t="str">
        <f>HYPERLINK("https://pronto.by/catalog/product/315-965.html", "https://pronto.by/catalog/product/315-965.html")</f>
        <v>https://pronto.by/catalog/product/315-965.html</v>
      </c>
    </row>
    <row r="76" spans="1:14" customFormat="1" ht="41.4">
      <c r="A76" s="35" t="s">
        <v>203</v>
      </c>
      <c r="B76" s="19" t="s">
        <v>204</v>
      </c>
      <c r="C76" s="20" t="s">
        <v>3350</v>
      </c>
      <c r="D76" s="36" t="s">
        <v>28</v>
      </c>
      <c r="E76" s="37" t="s">
        <v>3296</v>
      </c>
      <c r="F76" s="43">
        <v>11.46</v>
      </c>
      <c r="G76" s="100">
        <f t="shared" si="0"/>
        <v>11.46</v>
      </c>
      <c r="H76" s="101"/>
      <c r="I76" s="100">
        <f>G76*H76</f>
        <v>0</v>
      </c>
      <c r="J76" s="39" t="s">
        <v>3336</v>
      </c>
      <c r="K76" s="40" t="s">
        <v>35</v>
      </c>
      <c r="L76" s="41"/>
      <c r="M76" s="42" t="str">
        <f>HYPERLINK("https://catalog.onliner.by/xmaslights/neonnight/nn315966", "https://catalog.onliner.by/xmaslights/neonnight/nn315966")</f>
        <v>https://catalog.onliner.by/xmaslights/neonnight/nn315966</v>
      </c>
      <c r="N76" s="42" t="str">
        <f>HYPERLINK("https://pronto.by/catalog/product/315-966.html", "https://pronto.by/catalog/product/315-966.html")</f>
        <v>https://pronto.by/catalog/product/315-966.html</v>
      </c>
    </row>
    <row r="77" spans="1:14" customFormat="1" ht="69">
      <c r="A77" s="35" t="s">
        <v>205</v>
      </c>
      <c r="B77" s="19" t="s">
        <v>206</v>
      </c>
      <c r="C77" s="20" t="s">
        <v>3351</v>
      </c>
      <c r="D77" s="36" t="s">
        <v>28</v>
      </c>
      <c r="E77" s="37" t="s">
        <v>3267</v>
      </c>
      <c r="F77" s="43">
        <v>8.4600000000000009</v>
      </c>
      <c r="G77" s="100">
        <f t="shared" si="0"/>
        <v>8.4600000000000009</v>
      </c>
      <c r="H77" s="101"/>
      <c r="I77" s="100">
        <f>G77*H77</f>
        <v>0</v>
      </c>
      <c r="J77" s="39" t="s">
        <v>3336</v>
      </c>
      <c r="K77" s="40" t="s">
        <v>35</v>
      </c>
      <c r="L77" s="41"/>
      <c r="M77" s="42" t="str">
        <f>HYPERLINK("https://catalog.onliner.by/xmaslights/neonnight/nn302009", "https://catalog.onliner.by/xmaslights/neonnight/nn302009")</f>
        <v>https://catalog.onliner.by/xmaslights/neonnight/nn302009</v>
      </c>
      <c r="N77" s="42" t="str">
        <f>HYPERLINK("https://pronto.by/catalog/product/302-009.html", "https://pronto.by/catalog/product/302-009.html")</f>
        <v>https://pronto.by/catalog/product/302-009.html</v>
      </c>
    </row>
    <row r="78" spans="1:14" customFormat="1" ht="55.2">
      <c r="A78" s="35" t="s">
        <v>207</v>
      </c>
      <c r="B78" s="19" t="s">
        <v>208</v>
      </c>
      <c r="C78" s="20" t="s">
        <v>3352</v>
      </c>
      <c r="D78" s="36" t="s">
        <v>28</v>
      </c>
      <c r="E78" s="37" t="s">
        <v>3258</v>
      </c>
      <c r="F78" s="43">
        <v>8.8800000000000008</v>
      </c>
      <c r="G78" s="100">
        <f t="shared" si="0"/>
        <v>8.8800000000000008</v>
      </c>
      <c r="H78" s="101"/>
      <c r="I78" s="100">
        <f>G78*H78</f>
        <v>0</v>
      </c>
      <c r="J78" s="39" t="s">
        <v>3336</v>
      </c>
      <c r="K78" s="40" t="s">
        <v>35</v>
      </c>
      <c r="L78" s="41"/>
      <c r="M78" s="42" t="str">
        <f>HYPERLINK("https://catalog.onliner.by/xmaslights/neonnight/nn302025", "https://catalog.onliner.by/xmaslights/neonnight/nn302025")</f>
        <v>https://catalog.onliner.by/xmaslights/neonnight/nn302025</v>
      </c>
      <c r="N78" s="42" t="str">
        <f>HYPERLINK("https://pronto.by/catalog/product/302-025.html", "https://pronto.by/catalog/product/302-025.html")</f>
        <v>https://pronto.by/catalog/product/302-025.html</v>
      </c>
    </row>
    <row r="79" spans="1:14" customFormat="1" ht="55.2">
      <c r="A79" s="35" t="s">
        <v>209</v>
      </c>
      <c r="B79" s="19" t="s">
        <v>210</v>
      </c>
      <c r="C79" s="20" t="s">
        <v>3353</v>
      </c>
      <c r="D79" s="36" t="s">
        <v>28</v>
      </c>
      <c r="E79" s="37" t="s">
        <v>3258</v>
      </c>
      <c r="F79" s="43">
        <v>8.8800000000000008</v>
      </c>
      <c r="G79" s="100">
        <f t="shared" ref="G79:G142" si="1">ROUND(F79-F79*G$3,2)</f>
        <v>8.8800000000000008</v>
      </c>
      <c r="H79" s="101"/>
      <c r="I79" s="100">
        <f>G79*H79</f>
        <v>0</v>
      </c>
      <c r="J79" s="39" t="s">
        <v>3336</v>
      </c>
      <c r="K79" s="40" t="s">
        <v>35</v>
      </c>
      <c r="L79" s="41"/>
      <c r="M79" s="42" t="str">
        <f>HYPERLINK("https://catalog.onliner.by/xmaslights/neonnight/nn302026", "https://catalog.onliner.by/xmaslights/neonnight/nn302026")</f>
        <v>https://catalog.onliner.by/xmaslights/neonnight/nn302026</v>
      </c>
      <c r="N79" s="42" t="str">
        <f>HYPERLINK("https://pronto.by/catalog/product/302-026.html", "https://pronto.by/catalog/product/302-026.html")</f>
        <v>https://pronto.by/catalog/product/302-026.html</v>
      </c>
    </row>
    <row r="80" spans="1:14" customFormat="1" ht="55.2">
      <c r="A80" s="35" t="s">
        <v>3354</v>
      </c>
      <c r="B80" s="19" t="s">
        <v>3355</v>
      </c>
      <c r="C80" s="20" t="s">
        <v>3356</v>
      </c>
      <c r="D80" s="36" t="s">
        <v>28</v>
      </c>
      <c r="E80" s="37" t="s">
        <v>3258</v>
      </c>
      <c r="F80" s="43">
        <v>8.8800000000000008</v>
      </c>
      <c r="G80" s="100">
        <f t="shared" si="1"/>
        <v>8.8800000000000008</v>
      </c>
      <c r="H80" s="101"/>
      <c r="I80" s="100">
        <f>G80*H80</f>
        <v>0</v>
      </c>
      <c r="J80" s="39" t="s">
        <v>3336</v>
      </c>
      <c r="K80" s="40" t="s">
        <v>35</v>
      </c>
      <c r="L80" s="41"/>
      <c r="M80" s="42" t="str">
        <f>HYPERLINK("https://catalog.onliner.by/xmaslights/neonnight/nn302029", "https://catalog.onliner.by/xmaslights/neonnight/nn302029")</f>
        <v>https://catalog.onliner.by/xmaslights/neonnight/nn302029</v>
      </c>
      <c r="N80" s="42" t="str">
        <f>HYPERLINK("https://pronto.by/catalog/product/302-029.html", "https://pronto.by/catalog/product/302-029.html")</f>
        <v>https://pronto.by/catalog/product/302-029.html</v>
      </c>
    </row>
    <row r="81" spans="1:14" customFormat="1" ht="71.400000000000006">
      <c r="A81" s="35" t="s">
        <v>211</v>
      </c>
      <c r="B81" s="19" t="s">
        <v>212</v>
      </c>
      <c r="C81" s="20" t="s">
        <v>3357</v>
      </c>
      <c r="D81" s="36" t="s">
        <v>28</v>
      </c>
      <c r="E81" s="37" t="s">
        <v>3279</v>
      </c>
      <c r="F81" s="43">
        <v>30.599999999999998</v>
      </c>
      <c r="G81" s="100">
        <f t="shared" si="1"/>
        <v>30.6</v>
      </c>
      <c r="H81" s="101"/>
      <c r="I81" s="100">
        <f>G81*H81</f>
        <v>0</v>
      </c>
      <c r="J81" s="39" t="s">
        <v>3336</v>
      </c>
      <c r="K81" s="40" t="s">
        <v>35</v>
      </c>
      <c r="L81" s="41"/>
      <c r="M81" s="42" t="str">
        <f>HYPERLINK("https://catalog.onliner.by/xmaslights/neonnight/neon303275", "https://catalog.onliner.by/xmaslights/neonnight/neon303275")</f>
        <v>https://catalog.onliner.by/xmaslights/neonnight/neon303275</v>
      </c>
      <c r="N81" s="42" t="str">
        <f>HYPERLINK("https://pronto.by/catalog/prazdnichnaya-svetotehnika/home-konechnye-potrebiteli/girlyandy-ekonom/girlyanda-rosa/303-275.html", "https://pronto.by/catalog/prazdnichnaya-svetotehnika/home-konechnye-potrebiteli/girlyandy-ekonom/girlyanda-rosa/303-275.html")</f>
        <v>https://pronto.by/catalog/prazdnichnaya-svetotehnika/home-konechnye-potrebiteli/girlyandy-ekonom/girlyanda-rosa/303-275.html</v>
      </c>
    </row>
    <row r="82" spans="1:14" customFormat="1" ht="71.400000000000006">
      <c r="A82" s="35" t="s">
        <v>213</v>
      </c>
      <c r="B82" s="19" t="s">
        <v>214</v>
      </c>
      <c r="C82" s="20" t="s">
        <v>3358</v>
      </c>
      <c r="D82" s="36" t="s">
        <v>28</v>
      </c>
      <c r="E82" s="37" t="s">
        <v>3284</v>
      </c>
      <c r="F82" s="43">
        <v>91.86</v>
      </c>
      <c r="G82" s="100">
        <f t="shared" si="1"/>
        <v>91.86</v>
      </c>
      <c r="H82" s="101"/>
      <c r="I82" s="100">
        <f>G82*H82</f>
        <v>0</v>
      </c>
      <c r="J82" s="39" t="s">
        <v>3336</v>
      </c>
      <c r="K82" s="40" t="s">
        <v>35</v>
      </c>
      <c r="L82" s="41"/>
      <c r="M82" s="42" t="str">
        <f>HYPERLINK("https://catalog.onliner.by/xmaslights/neonnight/neon303296", "https://catalog.onliner.by/xmaslights/neonnight/neon303296")</f>
        <v>https://catalog.onliner.by/xmaslights/neonnight/neon303296</v>
      </c>
      <c r="N82" s="42" t="str">
        <f>HYPERLINK("https://pronto.by/catalog/prazdnichnaya-svetotehnika/home-konechnye-potrebiteli/girlyandy-ekonom/girlyanda-rosa/303-296.html", "https://pronto.by/catalog/prazdnichnaya-svetotehnika/home-konechnye-potrebiteli/girlyandy-ekonom/girlyanda-rosa/303-296.html")</f>
        <v>https://pronto.by/catalog/prazdnichnaya-svetotehnika/home-konechnye-potrebiteli/girlyandy-ekonom/girlyanda-rosa/303-296.html</v>
      </c>
    </row>
    <row r="83" spans="1:14" customFormat="1" ht="71.400000000000006">
      <c r="A83" s="35" t="s">
        <v>215</v>
      </c>
      <c r="B83" s="19" t="s">
        <v>216</v>
      </c>
      <c r="C83" s="20" t="s">
        <v>3359</v>
      </c>
      <c r="D83" s="36" t="s">
        <v>28</v>
      </c>
      <c r="E83" s="37" t="s">
        <v>3279</v>
      </c>
      <c r="F83" s="43">
        <v>21</v>
      </c>
      <c r="G83" s="100">
        <f t="shared" si="1"/>
        <v>21</v>
      </c>
      <c r="H83" s="101"/>
      <c r="I83" s="100">
        <f>G83*H83</f>
        <v>0</v>
      </c>
      <c r="J83" s="39" t="s">
        <v>3336</v>
      </c>
      <c r="K83" s="40" t="s">
        <v>35</v>
      </c>
      <c r="L83" s="41"/>
      <c r="M83" s="42" t="str">
        <f>HYPERLINK("https://catalog.onliner.by/xmaslights/neonnight/neon303265", "https://catalog.onliner.by/xmaslights/neonnight/neon303265")</f>
        <v>https://catalog.onliner.by/xmaslights/neonnight/neon303265</v>
      </c>
      <c r="N83" s="42" t="str">
        <f>HYPERLINK("https://pronto.by/catalog/prazdnichnaya-svetotehnika/home-konechnye-potrebiteli/girlyandy-ekonom/girlyanda-rosa/303-265.html", "https://pronto.by/catalog/prazdnichnaya-svetotehnika/home-konechnye-potrebiteli/girlyandy-ekonom/girlyanda-rosa/303-265.html")</f>
        <v>https://pronto.by/catalog/prazdnichnaya-svetotehnika/home-konechnye-potrebiteli/girlyandy-ekonom/girlyanda-rosa/303-265.html</v>
      </c>
    </row>
    <row r="84" spans="1:14" customFormat="1" ht="71.400000000000006">
      <c r="A84" s="35" t="s">
        <v>217</v>
      </c>
      <c r="B84" s="19" t="s">
        <v>218</v>
      </c>
      <c r="C84" s="20" t="s">
        <v>3360</v>
      </c>
      <c r="D84" s="36" t="s">
        <v>28</v>
      </c>
      <c r="E84" s="37" t="s">
        <v>3279</v>
      </c>
      <c r="F84" s="43">
        <v>21</v>
      </c>
      <c r="G84" s="100">
        <f t="shared" si="1"/>
        <v>21</v>
      </c>
      <c r="H84" s="101"/>
      <c r="I84" s="100">
        <f>G84*H84</f>
        <v>0</v>
      </c>
      <c r="J84" s="39" t="s">
        <v>3336</v>
      </c>
      <c r="K84" s="40" t="s">
        <v>35</v>
      </c>
      <c r="L84" s="41"/>
      <c r="M84" s="42" t="str">
        <f>HYPERLINK("https://catalog.onliner.by/xmaslights/neonnight/neon303266", "https://catalog.onliner.by/xmaslights/neonnight/neon303266")</f>
        <v>https://catalog.onliner.by/xmaslights/neonnight/neon303266</v>
      </c>
      <c r="N84" s="42" t="str">
        <f>HYPERLINK("https://pronto.by/catalog/prazdnichnaya-svetotehnika/home-konechnye-potrebiteli/girlyandy-ekonom/girlyanda-rosa/303-266.html", "https://pronto.by/catalog/prazdnichnaya-svetotehnika/home-konechnye-potrebiteli/girlyandy-ekonom/girlyanda-rosa/303-266.html")</f>
        <v>https://pronto.by/catalog/prazdnichnaya-svetotehnika/home-konechnye-potrebiteli/girlyandy-ekonom/girlyanda-rosa/303-266.html</v>
      </c>
    </row>
    <row r="85" spans="1:14" customFormat="1" ht="71.400000000000006">
      <c r="A85" s="35" t="s">
        <v>219</v>
      </c>
      <c r="B85" s="19" t="s">
        <v>220</v>
      </c>
      <c r="C85" s="20" t="s">
        <v>3361</v>
      </c>
      <c r="D85" s="36" t="s">
        <v>28</v>
      </c>
      <c r="E85" s="37" t="s">
        <v>3279</v>
      </c>
      <c r="F85" s="43">
        <v>30.599999999999998</v>
      </c>
      <c r="G85" s="100">
        <f t="shared" si="1"/>
        <v>30.6</v>
      </c>
      <c r="H85" s="101"/>
      <c r="I85" s="100">
        <f>G85*H85</f>
        <v>0</v>
      </c>
      <c r="J85" s="39" t="s">
        <v>3336</v>
      </c>
      <c r="K85" s="40" t="s">
        <v>35</v>
      </c>
      <c r="L85" s="41"/>
      <c r="M85" s="42" t="str">
        <f>HYPERLINK("https://catalog.onliner.by/xmaslights/neonnight/neon303276", "https://catalog.onliner.by/xmaslights/neonnight/neon303276")</f>
        <v>https://catalog.onliner.by/xmaslights/neonnight/neon303276</v>
      </c>
      <c r="N85" s="42" t="str">
        <f>HYPERLINK("https://pronto.by/catalog/prazdnichnaya-svetotehnika/home-konechnye-potrebiteli/girlyandy-ekonom/girlyanda-rosa/303-276.html", "https://pronto.by/catalog/prazdnichnaya-svetotehnika/home-konechnye-potrebiteli/girlyandy-ekonom/girlyanda-rosa/303-276.html")</f>
        <v>https://pronto.by/catalog/prazdnichnaya-svetotehnika/home-konechnye-potrebiteli/girlyandy-ekonom/girlyanda-rosa/303-276.html</v>
      </c>
    </row>
    <row r="86" spans="1:14" customFormat="1" ht="71.400000000000006">
      <c r="A86" s="35" t="s">
        <v>221</v>
      </c>
      <c r="B86" s="19" t="s">
        <v>222</v>
      </c>
      <c r="C86" s="20" t="s">
        <v>3362</v>
      </c>
      <c r="D86" s="36" t="s">
        <v>28</v>
      </c>
      <c r="E86" s="37" t="s">
        <v>3279</v>
      </c>
      <c r="F86" s="43">
        <v>38.28</v>
      </c>
      <c r="G86" s="100">
        <f t="shared" si="1"/>
        <v>38.28</v>
      </c>
      <c r="H86" s="101"/>
      <c r="I86" s="100">
        <f>G86*H86</f>
        <v>0</v>
      </c>
      <c r="J86" s="39" t="s">
        <v>3336</v>
      </c>
      <c r="K86" s="40" t="s">
        <v>35</v>
      </c>
      <c r="L86" s="41"/>
      <c r="M86" s="42" t="str">
        <f>HYPERLINK("https://catalog.onliner.by/xmaslights/neonnight/neon303285", "https://catalog.onliner.by/xmaslights/neonnight/neon303285")</f>
        <v>https://catalog.onliner.by/xmaslights/neonnight/neon303285</v>
      </c>
      <c r="N86" s="42" t="str">
        <f>HYPERLINK("https://pronto.by/catalog/prazdnichnaya-svetotehnika/home-konechnye-potrebiteli/girlyandy-ekonom/girlyanda-rosa/303-285.html", "https://pronto.by/catalog/prazdnichnaya-svetotehnika/home-konechnye-potrebiteli/girlyandy-ekonom/girlyanda-rosa/303-285.html")</f>
        <v>https://pronto.by/catalog/prazdnichnaya-svetotehnika/home-konechnye-potrebiteli/girlyandy-ekonom/girlyanda-rosa/303-285.html</v>
      </c>
    </row>
    <row r="87" spans="1:14" customFormat="1" ht="71.400000000000006">
      <c r="A87" s="35" t="s">
        <v>223</v>
      </c>
      <c r="B87" s="19" t="s">
        <v>224</v>
      </c>
      <c r="C87" s="20" t="s">
        <v>3363</v>
      </c>
      <c r="D87" s="36" t="s">
        <v>28</v>
      </c>
      <c r="E87" s="37" t="s">
        <v>3279</v>
      </c>
      <c r="F87" s="43">
        <v>38.28</v>
      </c>
      <c r="G87" s="100">
        <f t="shared" si="1"/>
        <v>38.28</v>
      </c>
      <c r="H87" s="101"/>
      <c r="I87" s="100">
        <f>G87*H87</f>
        <v>0</v>
      </c>
      <c r="J87" s="39" t="s">
        <v>3336</v>
      </c>
      <c r="K87" s="40" t="s">
        <v>35</v>
      </c>
      <c r="L87" s="41"/>
      <c r="M87" s="42" t="str">
        <f>HYPERLINK("https://catalog.onliner.by/xmaslights/neonnight/neon303286", "https://catalog.onliner.by/xmaslights/neonnight/neon303286")</f>
        <v>https://catalog.onliner.by/xmaslights/neonnight/neon303286</v>
      </c>
      <c r="N87" s="42" t="str">
        <f>HYPERLINK("https://pronto.by/catalog/prazdnichnaya-svetotehnika/home-konechnye-potrebiteli/girlyandy-ekonom/girlyanda-rosa/303-286.html", "https://pronto.by/catalog/prazdnichnaya-svetotehnika/home-konechnye-potrebiteli/girlyandy-ekonom/girlyanda-rosa/303-286.html")</f>
        <v>https://pronto.by/catalog/prazdnichnaya-svetotehnika/home-konechnye-potrebiteli/girlyandy-ekonom/girlyanda-rosa/303-286.html</v>
      </c>
    </row>
    <row r="88" spans="1:14" customFormat="1" ht="71.400000000000006">
      <c r="A88" s="35" t="s">
        <v>225</v>
      </c>
      <c r="B88" s="19" t="s">
        <v>226</v>
      </c>
      <c r="C88" s="20" t="s">
        <v>3364</v>
      </c>
      <c r="D88" s="36" t="s">
        <v>28</v>
      </c>
      <c r="E88" s="37"/>
      <c r="F88" s="43">
        <v>38.760000000000005</v>
      </c>
      <c r="G88" s="100">
        <f t="shared" si="1"/>
        <v>38.76</v>
      </c>
      <c r="H88" s="101"/>
      <c r="I88" s="100">
        <f>G88*H88</f>
        <v>0</v>
      </c>
      <c r="J88" s="39" t="s">
        <v>3336</v>
      </c>
      <c r="K88" s="40" t="s">
        <v>35</v>
      </c>
      <c r="L88" s="41"/>
      <c r="M88" s="42" t="str">
        <f>HYPERLINK("https://catalog.onliner.by/xmaslights/neonnight/neon303436", "https://catalog.onliner.by/xmaslights/neonnight/neon303436")</f>
        <v>https://catalog.onliner.by/xmaslights/neonnight/neon303436</v>
      </c>
      <c r="N88" s="42" t="str">
        <f>HYPERLINK("https://pronto.by/catalog/prazdnichnaya-svetotehnika/home-konechnye-potrebiteli/girlyandy-ekonom/girlyanda-rosa/303-436.html", "https://pronto.by/catalog/prazdnichnaya-svetotehnika/home-konechnye-potrebiteli/girlyandy-ekonom/girlyanda-rosa/303-436.html")</f>
        <v>https://pronto.by/catalog/prazdnichnaya-svetotehnika/home-konechnye-potrebiteli/girlyandy-ekonom/girlyanda-rosa/303-436.html</v>
      </c>
    </row>
    <row r="89" spans="1:14" customFormat="1" ht="71.400000000000006">
      <c r="A89" s="35" t="s">
        <v>227</v>
      </c>
      <c r="B89" s="19" t="s">
        <v>228</v>
      </c>
      <c r="C89" s="20" t="s">
        <v>3365</v>
      </c>
      <c r="D89" s="36" t="s">
        <v>28</v>
      </c>
      <c r="E89" s="37"/>
      <c r="F89" s="43">
        <v>59.28</v>
      </c>
      <c r="G89" s="100">
        <f t="shared" si="1"/>
        <v>59.28</v>
      </c>
      <c r="H89" s="101"/>
      <c r="I89" s="100">
        <f>G89*H89</f>
        <v>0</v>
      </c>
      <c r="J89" s="39" t="s">
        <v>3336</v>
      </c>
      <c r="K89" s="40" t="s">
        <v>35</v>
      </c>
      <c r="L89" s="41"/>
      <c r="M89" s="42" t="str">
        <f>HYPERLINK("https://catalog.onliner.by/xmaslights/neonnight/neon303446", "https://catalog.onliner.by/xmaslights/neonnight/neon303446")</f>
        <v>https://catalog.onliner.by/xmaslights/neonnight/neon303446</v>
      </c>
      <c r="N89" s="42" t="str">
        <f>HYPERLINK("https://pronto.by/catalog/prazdnichnaya-svetotehnika/home-konechnye-potrebiteli/girlyandy-ekonom/girlyanda-rosa/303-446.html", "https://pronto.by/catalog/prazdnichnaya-svetotehnika/home-konechnye-potrebiteli/girlyandy-ekonom/girlyanda-rosa/303-446.html")</f>
        <v>https://pronto.by/catalog/prazdnichnaya-svetotehnika/home-konechnye-potrebiteli/girlyandy-ekonom/girlyanda-rosa/303-446.html</v>
      </c>
    </row>
    <row r="90" spans="1:14" customFormat="1" ht="15.6">
      <c r="A90" s="80" t="s">
        <v>3366</v>
      </c>
      <c r="B90" s="67"/>
      <c r="C90" s="67"/>
      <c r="D90" s="32"/>
      <c r="E90" s="32"/>
      <c r="F90" s="32"/>
      <c r="G90" s="52"/>
      <c r="H90" s="52"/>
      <c r="I90" s="52"/>
      <c r="J90" s="32"/>
      <c r="K90" s="32"/>
      <c r="L90" s="33"/>
      <c r="M90" s="32"/>
      <c r="N90" s="34"/>
    </row>
    <row r="91" spans="1:14" customFormat="1" ht="15.6">
      <c r="A91" s="80" t="s">
        <v>3367</v>
      </c>
      <c r="B91" s="67"/>
      <c r="C91" s="67"/>
      <c r="D91" s="32"/>
      <c r="E91" s="32"/>
      <c r="F91" s="32"/>
      <c r="G91" s="52"/>
      <c r="H91" s="52"/>
      <c r="I91" s="52"/>
      <c r="J91" s="32"/>
      <c r="K91" s="32"/>
      <c r="L91" s="33"/>
      <c r="M91" s="32"/>
      <c r="N91" s="34"/>
    </row>
    <row r="92" spans="1:14" customFormat="1" ht="55.2">
      <c r="A92" s="35" t="s">
        <v>229</v>
      </c>
      <c r="B92" s="19" t="s">
        <v>230</v>
      </c>
      <c r="C92" s="20" t="s">
        <v>231</v>
      </c>
      <c r="D92" s="36" t="s">
        <v>28</v>
      </c>
      <c r="E92" s="37" t="s">
        <v>3279</v>
      </c>
      <c r="F92" s="43">
        <v>16.740000000000002</v>
      </c>
      <c r="G92" s="100">
        <f t="shared" si="1"/>
        <v>16.739999999999998</v>
      </c>
      <c r="H92" s="101"/>
      <c r="I92" s="100">
        <f>G92*H92</f>
        <v>0</v>
      </c>
      <c r="J92" s="39" t="s">
        <v>3336</v>
      </c>
      <c r="K92" s="40" t="s">
        <v>41</v>
      </c>
      <c r="L92" s="41"/>
      <c r="M92" s="42" t="str">
        <f>HYPERLINK("https://catalog.onliner.by/xmaslights/neonnight/nn235023", "https://catalog.onliner.by/xmaslights/neonnight/nn235023")</f>
        <v>https://catalog.onliner.by/xmaslights/neonnight/nn235023</v>
      </c>
      <c r="N92" s="42" t="str">
        <f>HYPERLINK("https://pronto.by/catalog/product/235-023.html", "https://pronto.by/catalog/product/235-023.html")</f>
        <v>https://pronto.by/catalog/product/235-023.html</v>
      </c>
    </row>
    <row r="93" spans="1:14" customFormat="1" ht="16.5" customHeight="1">
      <c r="A93" s="80" t="s">
        <v>3368</v>
      </c>
      <c r="B93" s="67"/>
      <c r="C93" s="67"/>
      <c r="D93" s="32"/>
      <c r="E93" s="32"/>
      <c r="F93" s="32"/>
      <c r="G93" s="52"/>
      <c r="H93" s="52"/>
      <c r="I93" s="52"/>
      <c r="J93" s="32"/>
      <c r="K93" s="32"/>
      <c r="L93" s="33"/>
      <c r="M93" s="32"/>
      <c r="N93" s="34"/>
    </row>
    <row r="94" spans="1:14" customFormat="1" ht="55.2">
      <c r="A94" s="35" t="s">
        <v>232</v>
      </c>
      <c r="B94" s="19" t="s">
        <v>233</v>
      </c>
      <c r="C94" s="20" t="s">
        <v>3369</v>
      </c>
      <c r="D94" s="36" t="s">
        <v>28</v>
      </c>
      <c r="E94" s="37" t="s">
        <v>3279</v>
      </c>
      <c r="F94" s="43">
        <v>20.939999999999998</v>
      </c>
      <c r="G94" s="100">
        <f t="shared" si="1"/>
        <v>20.94</v>
      </c>
      <c r="H94" s="101"/>
      <c r="I94" s="100">
        <f>G94*H94</f>
        <v>0</v>
      </c>
      <c r="J94" s="39" t="s">
        <v>3336</v>
      </c>
      <c r="K94" s="40" t="s">
        <v>35</v>
      </c>
      <c r="L94" s="41"/>
      <c r="M94" s="42" t="str">
        <f>HYPERLINK("https://catalog.onliner.by/xmaslights/neonnight/nn235036", "https://catalog.onliner.by/xmaslights/neonnight/nn235036")</f>
        <v>https://catalog.onliner.by/xmaslights/neonnight/nn235036</v>
      </c>
      <c r="N94" s="44"/>
    </row>
    <row r="95" spans="1:14" customFormat="1" ht="55.2">
      <c r="A95" s="35" t="s">
        <v>234</v>
      </c>
      <c r="B95" s="19" t="s">
        <v>235</v>
      </c>
      <c r="C95" s="20" t="s">
        <v>236</v>
      </c>
      <c r="D95" s="36" t="s">
        <v>28</v>
      </c>
      <c r="E95" s="37" t="s">
        <v>3279</v>
      </c>
      <c r="F95" s="43">
        <v>20.939999999999998</v>
      </c>
      <c r="G95" s="100">
        <f t="shared" si="1"/>
        <v>20.94</v>
      </c>
      <c r="H95" s="101"/>
      <c r="I95" s="100">
        <f>G95*H95</f>
        <v>0</v>
      </c>
      <c r="J95" s="39" t="s">
        <v>3336</v>
      </c>
      <c r="K95" s="40" t="s">
        <v>41</v>
      </c>
      <c r="L95" s="41"/>
      <c r="M95" s="42" t="str">
        <f>HYPERLINK("https://catalog.onliner.by/xmaslights/neonnight/nn235033", "https://catalog.onliner.by/xmaslights/neonnight/nn235033")</f>
        <v>https://catalog.onliner.by/xmaslights/neonnight/nn235033</v>
      </c>
      <c r="N95" s="42" t="str">
        <f>HYPERLINK("https://pronto.by/catalog/product/235-033.html", "https://pronto.by/catalog/product/235-033.html")</f>
        <v>https://pronto.by/catalog/product/235-033.html</v>
      </c>
    </row>
    <row r="96" spans="1:14" customFormat="1" ht="55.2">
      <c r="A96" s="35" t="s">
        <v>237</v>
      </c>
      <c r="B96" s="19" t="s">
        <v>238</v>
      </c>
      <c r="C96" s="20" t="s">
        <v>239</v>
      </c>
      <c r="D96" s="36" t="s">
        <v>28</v>
      </c>
      <c r="E96" s="37" t="s">
        <v>3279</v>
      </c>
      <c r="F96" s="43">
        <v>20.939999999999998</v>
      </c>
      <c r="G96" s="100">
        <f t="shared" si="1"/>
        <v>20.94</v>
      </c>
      <c r="H96" s="101"/>
      <c r="I96" s="100">
        <f>G96*H96</f>
        <v>0</v>
      </c>
      <c r="J96" s="39" t="s">
        <v>3336</v>
      </c>
      <c r="K96" s="40" t="s">
        <v>41</v>
      </c>
      <c r="L96" s="41"/>
      <c r="M96" s="42" t="str">
        <f>HYPERLINK("https://catalog.onliner.by/xmaslights/neonnight/neon235015", "https://catalog.onliner.by/xmaslights/neonnight/neon235015")</f>
        <v>https://catalog.onliner.by/xmaslights/neonnight/neon235015</v>
      </c>
      <c r="N96" s="42" t="str">
        <f>HYPERLINK("https://pronto.by/catalog/product/235-015.html", "https://pronto.by/catalog/product/235-015.html")</f>
        <v>https://pronto.by/catalog/product/235-015.html</v>
      </c>
    </row>
    <row r="97" spans="1:14" customFormat="1" ht="69">
      <c r="A97" s="35" t="s">
        <v>240</v>
      </c>
      <c r="B97" s="19" t="s">
        <v>241</v>
      </c>
      <c r="C97" s="20" t="s">
        <v>242</v>
      </c>
      <c r="D97" s="36" t="s">
        <v>28</v>
      </c>
      <c r="E97" s="37" t="s">
        <v>3279</v>
      </c>
      <c r="F97" s="43">
        <v>20.939999999999998</v>
      </c>
      <c r="G97" s="100">
        <f t="shared" si="1"/>
        <v>20.94</v>
      </c>
      <c r="H97" s="101"/>
      <c r="I97" s="100">
        <f>G97*H97</f>
        <v>0</v>
      </c>
      <c r="J97" s="39" t="s">
        <v>3336</v>
      </c>
      <c r="K97" s="40" t="s">
        <v>41</v>
      </c>
      <c r="L97" s="41"/>
      <c r="M97" s="42" t="str">
        <f>HYPERLINK("https://catalog.onliner.by/xmaslights/neonnight/neon235019", "https://catalog.onliner.by/xmaslights/neonnight/neon235019")</f>
        <v>https://catalog.onliner.by/xmaslights/neonnight/neon235019</v>
      </c>
      <c r="N97" s="42" t="str">
        <f>HYPERLINK("https://pronto.by/catalog/product/235-019.html", "https://pronto.by/catalog/product/235-019.html")</f>
        <v>https://pronto.by/catalog/product/235-019.html</v>
      </c>
    </row>
    <row r="98" spans="1:14" customFormat="1" ht="16.5" customHeight="1">
      <c r="A98" s="80" t="s">
        <v>3370</v>
      </c>
      <c r="B98" s="67"/>
      <c r="C98" s="67"/>
      <c r="D98" s="32"/>
      <c r="E98" s="32"/>
      <c r="F98" s="32"/>
      <c r="G98" s="52"/>
      <c r="H98" s="52"/>
      <c r="I98" s="52"/>
      <c r="J98" s="32"/>
      <c r="K98" s="32"/>
      <c r="L98" s="33"/>
      <c r="M98" s="32"/>
      <c r="N98" s="34"/>
    </row>
    <row r="99" spans="1:14" customFormat="1" ht="55.2">
      <c r="A99" s="35" t="s">
        <v>243</v>
      </c>
      <c r="B99" s="19" t="s">
        <v>244</v>
      </c>
      <c r="C99" s="20" t="s">
        <v>245</v>
      </c>
      <c r="D99" s="36" t="s">
        <v>28</v>
      </c>
      <c r="E99" s="37" t="s">
        <v>3277</v>
      </c>
      <c r="F99" s="43">
        <v>42.48</v>
      </c>
      <c r="G99" s="100">
        <f t="shared" si="1"/>
        <v>42.48</v>
      </c>
      <c r="H99" s="101"/>
      <c r="I99" s="100">
        <f>G99*H99</f>
        <v>0</v>
      </c>
      <c r="J99" s="39" t="s">
        <v>3336</v>
      </c>
      <c r="K99" s="40" t="s">
        <v>41</v>
      </c>
      <c r="L99" s="41"/>
      <c r="M99" s="42" t="str">
        <f>HYPERLINK("https://catalog.onliner.by/xmaslights/neonnight/235055235055", "https://catalog.onliner.by/xmaslights/neonnight/235055235055")</f>
        <v>https://catalog.onliner.by/xmaslights/neonnight/235055235055</v>
      </c>
      <c r="N99" s="42" t="str">
        <f>HYPERLINK("https://pronto.by/catalog/product/235-055.html", "https://pronto.by/catalog/product/235-055.html")</f>
        <v>https://pronto.by/catalog/product/235-055.html</v>
      </c>
    </row>
    <row r="100" spans="1:14" customFormat="1" ht="55.2">
      <c r="A100" s="35" t="s">
        <v>246</v>
      </c>
      <c r="B100" s="19" t="s">
        <v>247</v>
      </c>
      <c r="C100" s="20" t="s">
        <v>248</v>
      </c>
      <c r="D100" s="36" t="s">
        <v>28</v>
      </c>
      <c r="E100" s="37" t="s">
        <v>3277</v>
      </c>
      <c r="F100" s="43">
        <v>42.48</v>
      </c>
      <c r="G100" s="100">
        <f t="shared" si="1"/>
        <v>42.48</v>
      </c>
      <c r="H100" s="101"/>
      <c r="I100" s="100">
        <f>G100*H100</f>
        <v>0</v>
      </c>
      <c r="J100" s="39" t="s">
        <v>3336</v>
      </c>
      <c r="K100" s="40" t="s">
        <v>41</v>
      </c>
      <c r="L100" s="41"/>
      <c r="M100" s="42" t="str">
        <f>HYPERLINK("https://catalog.onliner.by/xmaslights/neonnight/235059235059", "https://catalog.onliner.by/xmaslights/neonnight/235059235059")</f>
        <v>https://catalog.onliner.by/xmaslights/neonnight/235059235059</v>
      </c>
      <c r="N100" s="42" t="str">
        <f>HYPERLINK("https://pronto.by/catalog/product/235-059.html", "https://pronto.by/catalog/product/235-059.html")</f>
        <v>https://pronto.by/catalog/product/235-059.html</v>
      </c>
    </row>
    <row r="101" spans="1:14" customFormat="1" ht="55.2">
      <c r="A101" s="35" t="s">
        <v>249</v>
      </c>
      <c r="B101" s="19" t="s">
        <v>250</v>
      </c>
      <c r="C101" s="20" t="s">
        <v>251</v>
      </c>
      <c r="D101" s="36" t="s">
        <v>28</v>
      </c>
      <c r="E101" s="37" t="s">
        <v>3277</v>
      </c>
      <c r="F101" s="43">
        <v>42.48</v>
      </c>
      <c r="G101" s="100">
        <f t="shared" si="1"/>
        <v>42.48</v>
      </c>
      <c r="H101" s="101"/>
      <c r="I101" s="100">
        <f>G101*H101</f>
        <v>0</v>
      </c>
      <c r="J101" s="39" t="s">
        <v>3336</v>
      </c>
      <c r="K101" s="40" t="s">
        <v>35</v>
      </c>
      <c r="L101" s="41"/>
      <c r="M101" s="42" t="str">
        <f>HYPERLINK("https://catalog.onliner.by/xmaslights/neonnight/235053235053", "https://catalog.onliner.by/xmaslights/neonnight/235053235053")</f>
        <v>https://catalog.onliner.by/xmaslights/neonnight/235053235053</v>
      </c>
      <c r="N101" s="42" t="str">
        <f>HYPERLINK("https://pronto.by/catalog/product/235-053.html", "https://pronto.by/catalog/product/235-053.html")</f>
        <v>https://pronto.by/catalog/product/235-053.html</v>
      </c>
    </row>
    <row r="102" spans="1:14" customFormat="1" ht="55.2">
      <c r="A102" s="35" t="s">
        <v>252</v>
      </c>
      <c r="B102" s="19" t="s">
        <v>253</v>
      </c>
      <c r="C102" s="20" t="s">
        <v>254</v>
      </c>
      <c r="D102" s="36" t="s">
        <v>28</v>
      </c>
      <c r="E102" s="37" t="s">
        <v>3277</v>
      </c>
      <c r="F102" s="43">
        <v>42.48</v>
      </c>
      <c r="G102" s="100">
        <f t="shared" si="1"/>
        <v>42.48</v>
      </c>
      <c r="H102" s="101"/>
      <c r="I102" s="100">
        <f>G102*H102</f>
        <v>0</v>
      </c>
      <c r="J102" s="39" t="s">
        <v>3336</v>
      </c>
      <c r="K102" s="40" t="s">
        <v>35</v>
      </c>
      <c r="L102" s="41"/>
      <c r="M102" s="42" t="str">
        <f>HYPERLINK("https://catalog.onliner.by/xmaslights/neonnight/235056235056", "https://catalog.onliner.by/xmaslights/neonnight/235056235056")</f>
        <v>https://catalog.onliner.by/xmaslights/neonnight/235056235056</v>
      </c>
      <c r="N102" s="42" t="str">
        <f>HYPERLINK("https://pronto.by/catalog/product/235-056.html", "https://pronto.by/catalog/product/235-056.html")</f>
        <v>https://pronto.by/catalog/product/235-056.html</v>
      </c>
    </row>
    <row r="103" spans="1:14" customFormat="1" ht="16.5" customHeight="1">
      <c r="A103" s="80" t="s">
        <v>3371</v>
      </c>
      <c r="B103" s="67"/>
      <c r="C103" s="67"/>
      <c r="D103" s="32"/>
      <c r="E103" s="32"/>
      <c r="F103" s="32"/>
      <c r="G103" s="52"/>
      <c r="H103" s="52"/>
      <c r="I103" s="52"/>
      <c r="J103" s="32"/>
      <c r="K103" s="32"/>
      <c r="L103" s="33"/>
      <c r="M103" s="32"/>
      <c r="N103" s="34"/>
    </row>
    <row r="104" spans="1:14" customFormat="1" ht="55.2">
      <c r="A104" s="35" t="s">
        <v>255</v>
      </c>
      <c r="B104" s="19" t="s">
        <v>256</v>
      </c>
      <c r="C104" s="20" t="s">
        <v>257</v>
      </c>
      <c r="D104" s="36" t="s">
        <v>28</v>
      </c>
      <c r="E104" s="37" t="s">
        <v>3279</v>
      </c>
      <c r="F104" s="43">
        <v>42.48</v>
      </c>
      <c r="G104" s="100">
        <f t="shared" si="1"/>
        <v>42.48</v>
      </c>
      <c r="H104" s="101"/>
      <c r="I104" s="100">
        <f>G104*H104</f>
        <v>0</v>
      </c>
      <c r="J104" s="39" t="s">
        <v>3336</v>
      </c>
      <c r="K104" s="40" t="s">
        <v>41</v>
      </c>
      <c r="L104" s="41"/>
      <c r="M104" s="42" t="str">
        <f>HYPERLINK("https://catalog.onliner.by/xmaslights/neonnight/nn235065", "https://catalog.onliner.by/xmaslights/neonnight/nn235065")</f>
        <v>https://catalog.onliner.by/xmaslights/neonnight/nn235065</v>
      </c>
      <c r="N104" s="42" t="str">
        <f>HYPERLINK("https://pronto.by/catalog/product/235-065.html", "https://pronto.by/catalog/product/235-065.html")</f>
        <v>https://pronto.by/catalog/product/235-065.html</v>
      </c>
    </row>
    <row r="105" spans="1:14" customFormat="1" ht="55.2">
      <c r="A105" s="35" t="s">
        <v>258</v>
      </c>
      <c r="B105" s="19" t="s">
        <v>259</v>
      </c>
      <c r="C105" s="20" t="s">
        <v>260</v>
      </c>
      <c r="D105" s="36" t="s">
        <v>28</v>
      </c>
      <c r="E105" s="37" t="s">
        <v>3284</v>
      </c>
      <c r="F105" s="43">
        <v>42.48</v>
      </c>
      <c r="G105" s="100">
        <f t="shared" si="1"/>
        <v>42.48</v>
      </c>
      <c r="H105" s="101"/>
      <c r="I105" s="100">
        <f>G105*H105</f>
        <v>0</v>
      </c>
      <c r="J105" s="39" t="s">
        <v>3336</v>
      </c>
      <c r="K105" s="40" t="s">
        <v>35</v>
      </c>
      <c r="L105" s="41"/>
      <c r="M105" s="42" t="str">
        <f>HYPERLINK("https://catalog.onliner.by/xmaslights/neonnight/nn235069", "https://catalog.onliner.by/xmaslights/neonnight/nn235069")</f>
        <v>https://catalog.onliner.by/xmaslights/neonnight/nn235069</v>
      </c>
      <c r="N105" s="42" t="str">
        <f>HYPERLINK("https://pronto.by/catalog/product/235-069.html", "https://pronto.by/catalog/product/235-069.html")</f>
        <v>https://pronto.by/catalog/product/235-069.html</v>
      </c>
    </row>
    <row r="106" spans="1:14" customFormat="1" ht="55.2">
      <c r="A106" s="35" t="s">
        <v>261</v>
      </c>
      <c r="B106" s="19" t="s">
        <v>262</v>
      </c>
      <c r="C106" s="20" t="s">
        <v>263</v>
      </c>
      <c r="D106" s="36" t="s">
        <v>28</v>
      </c>
      <c r="E106" s="37" t="s">
        <v>3279</v>
      </c>
      <c r="F106" s="43">
        <v>42.48</v>
      </c>
      <c r="G106" s="100">
        <f t="shared" si="1"/>
        <v>42.48</v>
      </c>
      <c r="H106" s="101"/>
      <c r="I106" s="100">
        <f>G106*H106</f>
        <v>0</v>
      </c>
      <c r="J106" s="39" t="s">
        <v>3336</v>
      </c>
      <c r="K106" s="40" t="s">
        <v>41</v>
      </c>
      <c r="L106" s="41"/>
      <c r="M106" s="42" t="str">
        <f>HYPERLINK("https://catalog.onliner.by/xmaslights/neonnight/nn235066", "https://catalog.onliner.by/xmaslights/neonnight/nn235066")</f>
        <v>https://catalog.onliner.by/xmaslights/neonnight/nn235066</v>
      </c>
      <c r="N106" s="42" t="str">
        <f>HYPERLINK("https://pronto.by/catalog/product/235-066.html", "https://pronto.by/catalog/product/235-066.html")</f>
        <v>https://pronto.by/catalog/product/235-066.html</v>
      </c>
    </row>
    <row r="107" spans="1:14" customFormat="1" ht="15.6">
      <c r="A107" s="80" t="s">
        <v>3372</v>
      </c>
      <c r="B107" s="67"/>
      <c r="C107" s="67"/>
      <c r="D107" s="32"/>
      <c r="E107" s="32"/>
      <c r="F107" s="32"/>
      <c r="G107" s="52"/>
      <c r="H107" s="52"/>
      <c r="I107" s="52"/>
      <c r="J107" s="32"/>
      <c r="K107" s="32"/>
      <c r="L107" s="33"/>
      <c r="M107" s="32"/>
      <c r="N107" s="34"/>
    </row>
    <row r="108" spans="1:14" customFormat="1" ht="55.2">
      <c r="A108" s="35" t="s">
        <v>264</v>
      </c>
      <c r="B108" s="19" t="s">
        <v>265</v>
      </c>
      <c r="C108" s="20" t="s">
        <v>3373</v>
      </c>
      <c r="D108" s="36" t="s">
        <v>28</v>
      </c>
      <c r="E108" s="37" t="s">
        <v>3279</v>
      </c>
      <c r="F108" s="43">
        <v>65.399999999999991</v>
      </c>
      <c r="G108" s="100">
        <f t="shared" si="1"/>
        <v>65.400000000000006</v>
      </c>
      <c r="H108" s="101"/>
      <c r="I108" s="100">
        <f>G108*H108</f>
        <v>0</v>
      </c>
      <c r="J108" s="39" t="s">
        <v>3336</v>
      </c>
      <c r="K108" s="40" t="s">
        <v>41</v>
      </c>
      <c r="L108" s="41"/>
      <c r="M108" s="42" t="str">
        <f>HYPERLINK("https://catalog.onliner.by/xmaslights/neonnight/235005235005", "https://catalog.onliner.by/xmaslights/neonnight/235005235005")</f>
        <v>https://catalog.onliner.by/xmaslights/neonnight/235005235005</v>
      </c>
      <c r="N108" s="42" t="str">
        <f>HYPERLINK("https://pronto.by/catalog/product/235-005.html", "https://pronto.by/catalog/product/235-005.html")</f>
        <v>https://pronto.by/catalog/product/235-005.html</v>
      </c>
    </row>
    <row r="109" spans="1:14" customFormat="1" ht="55.2">
      <c r="A109" s="35" t="s">
        <v>266</v>
      </c>
      <c r="B109" s="19" t="s">
        <v>267</v>
      </c>
      <c r="C109" s="20" t="s">
        <v>268</v>
      </c>
      <c r="D109" s="36" t="s">
        <v>28</v>
      </c>
      <c r="E109" s="37" t="s">
        <v>3284</v>
      </c>
      <c r="F109" s="43">
        <v>42.48</v>
      </c>
      <c r="G109" s="100">
        <f t="shared" si="1"/>
        <v>42.48</v>
      </c>
      <c r="H109" s="101"/>
      <c r="I109" s="100">
        <f>G109*H109</f>
        <v>0</v>
      </c>
      <c r="J109" s="39" t="s">
        <v>3336</v>
      </c>
      <c r="K109" s="40" t="s">
        <v>41</v>
      </c>
      <c r="L109" s="41"/>
      <c r="M109" s="42" t="str">
        <f>HYPERLINK("https://catalog.onliner.by/xmaslights/neonnight/235092", "https://catalog.onliner.by/xmaslights/neonnight/235092")</f>
        <v>https://catalog.onliner.by/xmaslights/neonnight/235092</v>
      </c>
      <c r="N109" s="42" t="str">
        <f>HYPERLINK("https://pronto.by/catalog/product/235-092.html", "https://pronto.by/catalog/product/235-092.html")</f>
        <v>https://pronto.by/catalog/product/235-092.html</v>
      </c>
    </row>
    <row r="110" spans="1:14" customFormat="1" ht="55.2">
      <c r="A110" s="35" t="s">
        <v>269</v>
      </c>
      <c r="B110" s="19" t="s">
        <v>270</v>
      </c>
      <c r="C110" s="20" t="s">
        <v>271</v>
      </c>
      <c r="D110" s="36" t="s">
        <v>28</v>
      </c>
      <c r="E110" s="37" t="s">
        <v>3284</v>
      </c>
      <c r="F110" s="43">
        <v>42.48</v>
      </c>
      <c r="G110" s="100">
        <f t="shared" si="1"/>
        <v>42.48</v>
      </c>
      <c r="H110" s="101"/>
      <c r="I110" s="100">
        <f>G110*H110</f>
        <v>0</v>
      </c>
      <c r="J110" s="39" t="s">
        <v>3336</v>
      </c>
      <c r="K110" s="40" t="s">
        <v>41</v>
      </c>
      <c r="L110" s="41"/>
      <c r="M110" s="42" t="str">
        <f>HYPERLINK("https://catalog.onliner.by/xmaslights/neonnight/235091", "https://catalog.onliner.by/xmaslights/neonnight/235091")</f>
        <v>https://catalog.onliner.by/xmaslights/neonnight/235091</v>
      </c>
      <c r="N110" s="42" t="str">
        <f>HYPERLINK("https://pronto.by/catalog/product/235-091.html", "https://pronto.by/catalog/product/235-091.html")</f>
        <v>https://pronto.by/catalog/product/235-091.html</v>
      </c>
    </row>
    <row r="111" spans="1:14" customFormat="1" ht="55.2">
      <c r="A111" s="35" t="s">
        <v>272</v>
      </c>
      <c r="B111" s="19" t="s">
        <v>273</v>
      </c>
      <c r="C111" s="20" t="s">
        <v>274</v>
      </c>
      <c r="D111" s="36" t="s">
        <v>28</v>
      </c>
      <c r="E111" s="37" t="s">
        <v>3279</v>
      </c>
      <c r="F111" s="43">
        <v>42.48</v>
      </c>
      <c r="G111" s="100">
        <f t="shared" si="1"/>
        <v>42.48</v>
      </c>
      <c r="H111" s="101"/>
      <c r="I111" s="100">
        <f>G111*H111</f>
        <v>0</v>
      </c>
      <c r="J111" s="39" t="s">
        <v>3336</v>
      </c>
      <c r="K111" s="40" t="s">
        <v>35</v>
      </c>
      <c r="L111" s="41"/>
      <c r="M111" s="42" t="str">
        <f>HYPERLINK("https://catalog.onliner.by/xmaslights/neonnight/235098", "https://catalog.onliner.by/xmaslights/neonnight/235098")</f>
        <v>https://catalog.onliner.by/xmaslights/neonnight/235098</v>
      </c>
      <c r="N111" s="42" t="str">
        <f>HYPERLINK("https://pronto.by/catalog/product/235-098.html", "https://pronto.by/catalog/product/235-098.html")</f>
        <v>https://pronto.by/catalog/product/235-098.html</v>
      </c>
    </row>
    <row r="112" spans="1:14" customFormat="1" ht="55.2">
      <c r="A112" s="35" t="s">
        <v>275</v>
      </c>
      <c r="B112" s="19" t="s">
        <v>276</v>
      </c>
      <c r="C112" s="20" t="s">
        <v>3374</v>
      </c>
      <c r="D112" s="36" t="s">
        <v>28</v>
      </c>
      <c r="E112" s="37" t="s">
        <v>3279</v>
      </c>
      <c r="F112" s="43">
        <v>42.48</v>
      </c>
      <c r="G112" s="100">
        <f t="shared" si="1"/>
        <v>42.48</v>
      </c>
      <c r="H112" s="101"/>
      <c r="I112" s="100">
        <f>G112*H112</f>
        <v>0</v>
      </c>
      <c r="J112" s="39" t="s">
        <v>3336</v>
      </c>
      <c r="K112" s="40" t="s">
        <v>41</v>
      </c>
      <c r="L112" s="41"/>
      <c r="M112" s="42" t="str">
        <f>HYPERLINK("https://catalog.onliner.by/xmaslights/neonnight/235097", "https://catalog.onliner.by/xmaslights/neonnight/235097")</f>
        <v>https://catalog.onliner.by/xmaslights/neonnight/235097</v>
      </c>
      <c r="N112" s="42" t="str">
        <f>HYPERLINK("https://pronto.by/catalog/product/235-097.html", "https://pronto.by/catalog/product/235-097.html")</f>
        <v>https://pronto.by/catalog/product/235-097.html</v>
      </c>
    </row>
    <row r="113" spans="1:14" customFormat="1" ht="15.6">
      <c r="A113" s="80" t="s">
        <v>3375</v>
      </c>
      <c r="B113" s="67"/>
      <c r="C113" s="67"/>
      <c r="D113" s="32"/>
      <c r="E113" s="32"/>
      <c r="F113" s="32"/>
      <c r="G113" s="52"/>
      <c r="H113" s="52"/>
      <c r="I113" s="52"/>
      <c r="J113" s="32"/>
      <c r="K113" s="32"/>
      <c r="L113" s="33"/>
      <c r="M113" s="32"/>
      <c r="N113" s="34"/>
    </row>
    <row r="114" spans="1:14" customFormat="1" ht="81.599999999999994">
      <c r="A114" s="35" t="s">
        <v>277</v>
      </c>
      <c r="B114" s="19" t="s">
        <v>278</v>
      </c>
      <c r="C114" s="20" t="s">
        <v>3376</v>
      </c>
      <c r="D114" s="36" t="s">
        <v>28</v>
      </c>
      <c r="E114" s="37" t="s">
        <v>3279</v>
      </c>
      <c r="F114" s="43">
        <v>30.599999999999998</v>
      </c>
      <c r="G114" s="100">
        <f t="shared" si="1"/>
        <v>30.6</v>
      </c>
      <c r="H114" s="101"/>
      <c r="I114" s="100">
        <f>G114*H114</f>
        <v>0</v>
      </c>
      <c r="J114" s="39" t="s">
        <v>3336</v>
      </c>
      <c r="K114" s="40" t="s">
        <v>41</v>
      </c>
      <c r="L114" s="41"/>
      <c r="M114" s="42" t="str">
        <f>HYPERLINK("https://catalog.onliner.by/xmaslights/neonnight/neon315984", "https://catalog.onliner.by/xmaslights/neonnight/neon315984")</f>
        <v>https://catalog.onliner.by/xmaslights/neonnight/neon315984</v>
      </c>
      <c r="N114" s="42" t="str">
        <f>HYPERLINK("https://pronto.by/catalog/prazdnichnaya-svetotehnika/home-konechnye-potrebiteli/girlyanda-zanaves-dozhd/19407/315-984.html", "https://pronto.by/catalog/prazdnichnaya-svetotehnika/home-konechnye-potrebiteli/girlyanda-zanaves-dozhd/19407/315-984.html")</f>
        <v>https://pronto.by/catalog/prazdnichnaya-svetotehnika/home-konechnye-potrebiteli/girlyanda-zanaves-dozhd/19407/315-984.html</v>
      </c>
    </row>
    <row r="115" spans="1:14" customFormat="1" ht="41.4">
      <c r="A115" s="35" t="s">
        <v>279</v>
      </c>
      <c r="B115" s="19" t="s">
        <v>280</v>
      </c>
      <c r="C115" s="20" t="s">
        <v>281</v>
      </c>
      <c r="D115" s="36" t="s">
        <v>28</v>
      </c>
      <c r="E115" s="37" t="s">
        <v>3279</v>
      </c>
      <c r="F115" s="43">
        <v>26.76</v>
      </c>
      <c r="G115" s="100">
        <f t="shared" si="1"/>
        <v>26.76</v>
      </c>
      <c r="H115" s="101"/>
      <c r="I115" s="100">
        <f>G115*H115</f>
        <v>0</v>
      </c>
      <c r="J115" s="39" t="s">
        <v>3336</v>
      </c>
      <c r="K115" s="40" t="s">
        <v>35</v>
      </c>
      <c r="L115" s="41"/>
      <c r="M115" s="42" t="str">
        <f>HYPERLINK("https://catalog.onliner.by/xmaslights/neonnight/315985", "https://catalog.onliner.by/xmaslights/neonnight/315985")</f>
        <v>https://catalog.onliner.by/xmaslights/neonnight/315985</v>
      </c>
      <c r="N115" s="42" t="str">
        <f>HYPERLINK("https://pronto.by/catalog/product/315-985.html", "https://pronto.by/catalog/product/315-985.html")</f>
        <v>https://pronto.by/catalog/product/315-985.html</v>
      </c>
    </row>
    <row r="116" spans="1:14" customFormat="1" ht="81.599999999999994">
      <c r="A116" s="35" t="s">
        <v>282</v>
      </c>
      <c r="B116" s="19" t="s">
        <v>283</v>
      </c>
      <c r="C116" s="20" t="s">
        <v>284</v>
      </c>
      <c r="D116" s="36" t="s">
        <v>28</v>
      </c>
      <c r="E116" s="37" t="s">
        <v>3279</v>
      </c>
      <c r="F116" s="43">
        <v>26.76</v>
      </c>
      <c r="G116" s="100">
        <f t="shared" si="1"/>
        <v>26.76</v>
      </c>
      <c r="H116" s="101"/>
      <c r="I116" s="100">
        <f>G116*H116</f>
        <v>0</v>
      </c>
      <c r="J116" s="39" t="s">
        <v>3336</v>
      </c>
      <c r="K116" s="40" t="s">
        <v>35</v>
      </c>
      <c r="L116" s="41"/>
      <c r="M116" s="42" t="str">
        <f>HYPERLINK("https://catalog.onliner.by/xmaslights/neonnight/315989", "https://catalog.onliner.by/xmaslights/neonnight/315989")</f>
        <v>https://catalog.onliner.by/xmaslights/neonnight/315989</v>
      </c>
      <c r="N116" s="42" t="str">
        <f>HYPERLINK("https://pronto.by/catalog/prazdnichnaya-svetotehnika/home-konechnye-potrebiteli/girlyanda-zanaves-dozhd/19407/315-989.html", "https://pronto.by/catalog/prazdnichnaya-svetotehnika/home-konechnye-potrebiteli/girlyanda-zanaves-dozhd/19407/315-989.html")</f>
        <v>https://pronto.by/catalog/prazdnichnaya-svetotehnika/home-konechnye-potrebiteli/girlyanda-zanaves-dozhd/19407/315-989.html</v>
      </c>
    </row>
    <row r="117" spans="1:14" customFormat="1" ht="81.599999999999994">
      <c r="A117" s="35" t="s">
        <v>285</v>
      </c>
      <c r="B117" s="19" t="s">
        <v>286</v>
      </c>
      <c r="C117" s="20" t="s">
        <v>3377</v>
      </c>
      <c r="D117" s="36" t="s">
        <v>28</v>
      </c>
      <c r="E117" s="37" t="s">
        <v>3279</v>
      </c>
      <c r="F117" s="43">
        <v>30.599999999999998</v>
      </c>
      <c r="G117" s="100">
        <f t="shared" si="1"/>
        <v>30.6</v>
      </c>
      <c r="H117" s="101"/>
      <c r="I117" s="100">
        <f>G117*H117</f>
        <v>0</v>
      </c>
      <c r="J117" s="39" t="s">
        <v>3336</v>
      </c>
      <c r="K117" s="40" t="s">
        <v>41</v>
      </c>
      <c r="L117" s="41"/>
      <c r="M117" s="42" t="str">
        <f>HYPERLINK("https://catalog.onliner.by/xmaslights/neonnight/neon315987", "https://catalog.onliner.by/xmaslights/neonnight/neon315987")</f>
        <v>https://catalog.onliner.by/xmaslights/neonnight/neon315987</v>
      </c>
      <c r="N117" s="42" t="str">
        <f>HYPERLINK("https://pronto.by/catalog/prazdnichnaya-svetotehnika/home-konechnye-potrebiteli/girlyanda-zanaves-dozhd/19407/315-987.html", "https://pronto.by/catalog/prazdnichnaya-svetotehnika/home-konechnye-potrebiteli/girlyanda-zanaves-dozhd/19407/315-987.html")</f>
        <v>https://pronto.by/catalog/prazdnichnaya-svetotehnika/home-konechnye-potrebiteli/girlyanda-zanaves-dozhd/19407/315-987.html</v>
      </c>
    </row>
    <row r="118" spans="1:14" customFormat="1" ht="55.2">
      <c r="A118" s="35" t="s">
        <v>287</v>
      </c>
      <c r="B118" s="19" t="s">
        <v>288</v>
      </c>
      <c r="C118" s="20" t="s">
        <v>289</v>
      </c>
      <c r="D118" s="36" t="s">
        <v>28</v>
      </c>
      <c r="E118" s="37" t="s">
        <v>3279</v>
      </c>
      <c r="F118" s="43">
        <v>26.76</v>
      </c>
      <c r="G118" s="100">
        <f t="shared" si="1"/>
        <v>26.76</v>
      </c>
      <c r="H118" s="101"/>
      <c r="I118" s="100">
        <f>G118*H118</f>
        <v>0</v>
      </c>
      <c r="J118" s="39" t="s">
        <v>3336</v>
      </c>
      <c r="K118" s="40" t="s">
        <v>35</v>
      </c>
      <c r="L118" s="41"/>
      <c r="M118" s="42" t="str">
        <f>HYPERLINK("https://catalog.onliner.by/xmaslights/neonnight/neon315986", "https://catalog.onliner.by/xmaslights/neonnight/neon315986")</f>
        <v>https://catalog.onliner.by/xmaslights/neonnight/neon315986</v>
      </c>
      <c r="N118" s="42" t="str">
        <f>HYPERLINK("https://pronto.by/catalog/product/315-986.html", "https://pronto.by/catalog/product/315-986.html")</f>
        <v>https://pronto.by/catalog/product/315-986.html</v>
      </c>
    </row>
    <row r="119" spans="1:14" customFormat="1" ht="81.599999999999994">
      <c r="A119" s="35" t="s">
        <v>290</v>
      </c>
      <c r="B119" s="19" t="s">
        <v>291</v>
      </c>
      <c r="C119" s="20" t="s">
        <v>292</v>
      </c>
      <c r="D119" s="36" t="s">
        <v>28</v>
      </c>
      <c r="E119" s="37" t="s">
        <v>3279</v>
      </c>
      <c r="F119" s="43">
        <v>71.58</v>
      </c>
      <c r="G119" s="100">
        <f t="shared" si="1"/>
        <v>71.58</v>
      </c>
      <c r="H119" s="101"/>
      <c r="I119" s="100">
        <f>G119*H119</f>
        <v>0</v>
      </c>
      <c r="J119" s="39" t="s">
        <v>3336</v>
      </c>
      <c r="K119" s="40" t="s">
        <v>35</v>
      </c>
      <c r="L119" s="41"/>
      <c r="M119" s="42" t="str">
        <f>HYPERLINK("https://catalog.onliner.by/xmaslights/neonnight/neon315995", "https://catalog.onliner.by/xmaslights/neonnight/neon315995")</f>
        <v>https://catalog.onliner.by/xmaslights/neonnight/neon315995</v>
      </c>
      <c r="N119" s="42" t="str">
        <f>HYPERLINK("https://pronto.by/catalog/prazdnichnaya-svetotehnika/home-konechnye-potrebiteli/girlyanda-zanaves-dozhd/19407/315-995.html", "https://pronto.by/catalog/prazdnichnaya-svetotehnika/home-konechnye-potrebiteli/girlyanda-zanaves-dozhd/19407/315-995.html")</f>
        <v>https://pronto.by/catalog/prazdnichnaya-svetotehnika/home-konechnye-potrebiteli/girlyanda-zanaves-dozhd/19407/315-995.html</v>
      </c>
    </row>
    <row r="120" spans="1:14" customFormat="1" ht="81.599999999999994">
      <c r="A120" s="35" t="s">
        <v>293</v>
      </c>
      <c r="B120" s="19" t="s">
        <v>294</v>
      </c>
      <c r="C120" s="20" t="s">
        <v>295</v>
      </c>
      <c r="D120" s="36" t="s">
        <v>28</v>
      </c>
      <c r="E120" s="37" t="s">
        <v>3279</v>
      </c>
      <c r="F120" s="43">
        <v>71.58</v>
      </c>
      <c r="G120" s="100">
        <f t="shared" si="1"/>
        <v>71.58</v>
      </c>
      <c r="H120" s="101"/>
      <c r="I120" s="100">
        <f>G120*H120</f>
        <v>0</v>
      </c>
      <c r="J120" s="39" t="s">
        <v>3336</v>
      </c>
      <c r="K120" s="40" t="s">
        <v>35</v>
      </c>
      <c r="L120" s="41"/>
      <c r="M120" s="42" t="str">
        <f>HYPERLINK("https://catalog.onliner.by/xmaslights/neonnight/neon315996", "https://catalog.onliner.by/xmaslights/neonnight/neon315996")</f>
        <v>https://catalog.onliner.by/xmaslights/neonnight/neon315996</v>
      </c>
      <c r="N120" s="42" t="str">
        <f>HYPERLINK("https://pronto.by/catalog/prazdnichnaya-svetotehnika/home-konechnye-potrebiteli/girlyanda-zanaves-dozhd/19407/315-996.html", "https://pronto.by/catalog/prazdnichnaya-svetotehnika/home-konechnye-potrebiteli/girlyanda-zanaves-dozhd/19407/315-996.html")</f>
        <v>https://pronto.by/catalog/prazdnichnaya-svetotehnika/home-konechnye-potrebiteli/girlyanda-zanaves-dozhd/19407/315-996.html</v>
      </c>
    </row>
    <row r="121" spans="1:14" customFormat="1" ht="81.599999999999994">
      <c r="A121" s="35" t="s">
        <v>296</v>
      </c>
      <c r="B121" s="19" t="s">
        <v>297</v>
      </c>
      <c r="C121" s="20" t="s">
        <v>298</v>
      </c>
      <c r="D121" s="36" t="s">
        <v>28</v>
      </c>
      <c r="E121" s="37" t="s">
        <v>3279</v>
      </c>
      <c r="F121" s="43">
        <v>24.840000000000003</v>
      </c>
      <c r="G121" s="100">
        <f t="shared" si="1"/>
        <v>24.84</v>
      </c>
      <c r="H121" s="101"/>
      <c r="I121" s="100">
        <f>G121*H121</f>
        <v>0</v>
      </c>
      <c r="J121" s="39" t="s">
        <v>3336</v>
      </c>
      <c r="K121" s="40" t="s">
        <v>35</v>
      </c>
      <c r="L121" s="41"/>
      <c r="M121" s="42" t="str">
        <f>HYPERLINK("https://catalog.onliner.by/xmaslights/neonnight/neon315875", "https://catalog.onliner.by/xmaslights/neonnight/neon315875")</f>
        <v>https://catalog.onliner.by/xmaslights/neonnight/neon315875</v>
      </c>
      <c r="N121" s="42" t="str">
        <f>HYPERLINK("https://pronto.by/catalog/prazdnichnaya-svetotehnika/home-konechnye-potrebiteli/girlyanda-zanaves-dozhd/19407/315-875.html", "https://pronto.by/catalog/prazdnichnaya-svetotehnika/home-konechnye-potrebiteli/girlyanda-zanaves-dozhd/19407/315-875.html")</f>
        <v>https://pronto.by/catalog/prazdnichnaya-svetotehnika/home-konechnye-potrebiteli/girlyanda-zanaves-dozhd/19407/315-875.html</v>
      </c>
    </row>
    <row r="122" spans="1:14" customFormat="1" ht="81.599999999999994">
      <c r="A122" s="35" t="s">
        <v>299</v>
      </c>
      <c r="B122" s="19" t="s">
        <v>300</v>
      </c>
      <c r="C122" s="20" t="s">
        <v>301</v>
      </c>
      <c r="D122" s="36" t="s">
        <v>28</v>
      </c>
      <c r="E122" s="37" t="s">
        <v>3279</v>
      </c>
      <c r="F122" s="43">
        <v>24.840000000000003</v>
      </c>
      <c r="G122" s="100">
        <f t="shared" si="1"/>
        <v>24.84</v>
      </c>
      <c r="H122" s="101"/>
      <c r="I122" s="100">
        <f>G122*H122</f>
        <v>0</v>
      </c>
      <c r="J122" s="39" t="s">
        <v>3336</v>
      </c>
      <c r="K122" s="40" t="s">
        <v>35</v>
      </c>
      <c r="L122" s="41"/>
      <c r="M122" s="42" t="str">
        <f>HYPERLINK("https://catalog.onliner.by/xmaslights/neonnight/neon315879", "https://catalog.onliner.by/xmaslights/neonnight/neon315879")</f>
        <v>https://catalog.onliner.by/xmaslights/neonnight/neon315879</v>
      </c>
      <c r="N122" s="42" t="str">
        <f>HYPERLINK("https://pronto.by/catalog/prazdnichnaya-svetotehnika/home-konechnye-potrebiteli/girlyanda-zanaves-dozhd/19407/315-879.html", "https://pronto.by/catalog/prazdnichnaya-svetotehnika/home-konechnye-potrebiteli/girlyanda-zanaves-dozhd/19407/315-879.html")</f>
        <v>https://pronto.by/catalog/prazdnichnaya-svetotehnika/home-konechnye-potrebiteli/girlyanda-zanaves-dozhd/19407/315-879.html</v>
      </c>
    </row>
    <row r="123" spans="1:14" customFormat="1" ht="81.599999999999994">
      <c r="A123" s="35" t="s">
        <v>302</v>
      </c>
      <c r="B123" s="19" t="s">
        <v>303</v>
      </c>
      <c r="C123" s="20" t="s">
        <v>304</v>
      </c>
      <c r="D123" s="36" t="s">
        <v>28</v>
      </c>
      <c r="E123" s="37" t="s">
        <v>3279</v>
      </c>
      <c r="F123" s="43">
        <v>24.840000000000003</v>
      </c>
      <c r="G123" s="100">
        <f t="shared" si="1"/>
        <v>24.84</v>
      </c>
      <c r="H123" s="101"/>
      <c r="I123" s="100">
        <f>G123*H123</f>
        <v>0</v>
      </c>
      <c r="J123" s="39" t="s">
        <v>3336</v>
      </c>
      <c r="K123" s="40" t="s">
        <v>35</v>
      </c>
      <c r="L123" s="41"/>
      <c r="M123" s="42" t="str">
        <f>HYPERLINK("https://catalog.onliner.by/xmaslights/neonnight/neon315876", "https://catalog.onliner.by/xmaslights/neonnight/neon315876")</f>
        <v>https://catalog.onliner.by/xmaslights/neonnight/neon315876</v>
      </c>
      <c r="N123" s="42" t="str">
        <f>HYPERLINK("https://pronto.by/catalog/prazdnichnaya-svetotehnika/home-konechnye-potrebiteli/girlyanda-zanaves-dozhd/19407/315-876.html", "https://pronto.by/catalog/prazdnichnaya-svetotehnika/home-konechnye-potrebiteli/girlyanda-zanaves-dozhd/19407/315-876.html")</f>
        <v>https://pronto.by/catalog/prazdnichnaya-svetotehnika/home-konechnye-potrebiteli/girlyanda-zanaves-dozhd/19407/315-876.html</v>
      </c>
    </row>
    <row r="124" spans="1:14" customFormat="1" ht="81.599999999999994">
      <c r="A124" s="35" t="s">
        <v>305</v>
      </c>
      <c r="B124" s="19" t="s">
        <v>306</v>
      </c>
      <c r="C124" s="20" t="s">
        <v>307</v>
      </c>
      <c r="D124" s="36" t="s">
        <v>28</v>
      </c>
      <c r="E124" s="37" t="s">
        <v>3279</v>
      </c>
      <c r="F124" s="43">
        <v>26.76</v>
      </c>
      <c r="G124" s="100">
        <f t="shared" si="1"/>
        <v>26.76</v>
      </c>
      <c r="H124" s="101"/>
      <c r="I124" s="100">
        <f>G124*H124</f>
        <v>0</v>
      </c>
      <c r="J124" s="39" t="s">
        <v>3336</v>
      </c>
      <c r="K124" s="40" t="s">
        <v>35</v>
      </c>
      <c r="L124" s="41"/>
      <c r="M124" s="42" t="str">
        <f>HYPERLINK("https://catalog.onliner.by/xmaslights/neonnight/neon315885", "https://catalog.onliner.by/xmaslights/neonnight/neon315885")</f>
        <v>https://catalog.onliner.by/xmaslights/neonnight/neon315885</v>
      </c>
      <c r="N124" s="42" t="str">
        <f>HYPERLINK("https://pronto.by/catalog/prazdnichnaya-svetotehnika/home-konechnye-potrebiteli/girlyanda-zanaves-dozhd/19407/315-885.html", "https://pronto.by/catalog/prazdnichnaya-svetotehnika/home-konechnye-potrebiteli/girlyanda-zanaves-dozhd/19407/315-885.html")</f>
        <v>https://pronto.by/catalog/prazdnichnaya-svetotehnika/home-konechnye-potrebiteli/girlyanda-zanaves-dozhd/19407/315-885.html</v>
      </c>
    </row>
    <row r="125" spans="1:14" customFormat="1" ht="81.599999999999994">
      <c r="A125" s="35" t="s">
        <v>308</v>
      </c>
      <c r="B125" s="19" t="s">
        <v>309</v>
      </c>
      <c r="C125" s="20" t="s">
        <v>310</v>
      </c>
      <c r="D125" s="36" t="s">
        <v>28</v>
      </c>
      <c r="E125" s="37" t="s">
        <v>3279</v>
      </c>
      <c r="F125" s="43">
        <v>26.76</v>
      </c>
      <c r="G125" s="100">
        <f t="shared" si="1"/>
        <v>26.76</v>
      </c>
      <c r="H125" s="101"/>
      <c r="I125" s="100">
        <f>G125*H125</f>
        <v>0</v>
      </c>
      <c r="J125" s="39" t="s">
        <v>3336</v>
      </c>
      <c r="K125" s="40" t="s">
        <v>35</v>
      </c>
      <c r="L125" s="41"/>
      <c r="M125" s="42" t="str">
        <f>HYPERLINK("https://catalog.onliner.by/xmaslights/neonnight/neon315886", "https://catalog.onliner.by/xmaslights/neonnight/neon315886")</f>
        <v>https://catalog.onliner.by/xmaslights/neonnight/neon315886</v>
      </c>
      <c r="N125" s="42" t="str">
        <f>HYPERLINK("https://pronto.by/catalog/prazdnichnaya-svetotehnika/home-konechnye-potrebiteli/girlyanda-zanaves-dozhd/19407/315-886.html", "https://pronto.by/catalog/prazdnichnaya-svetotehnika/home-konechnye-potrebiteli/girlyanda-zanaves-dozhd/19407/315-886.html")</f>
        <v>https://pronto.by/catalog/prazdnichnaya-svetotehnika/home-konechnye-potrebiteli/girlyanda-zanaves-dozhd/19407/315-886.html</v>
      </c>
    </row>
    <row r="126" spans="1:14" customFormat="1" ht="81.599999999999994">
      <c r="A126" s="35" t="s">
        <v>311</v>
      </c>
      <c r="B126" s="19" t="s">
        <v>312</v>
      </c>
      <c r="C126" s="20" t="s">
        <v>313</v>
      </c>
      <c r="D126" s="36" t="s">
        <v>28</v>
      </c>
      <c r="E126" s="37" t="s">
        <v>3308</v>
      </c>
      <c r="F126" s="43">
        <v>26.76</v>
      </c>
      <c r="G126" s="100">
        <f t="shared" si="1"/>
        <v>26.76</v>
      </c>
      <c r="H126" s="101"/>
      <c r="I126" s="100">
        <f>G126*H126</f>
        <v>0</v>
      </c>
      <c r="J126" s="39" t="s">
        <v>3336</v>
      </c>
      <c r="K126" s="40" t="s">
        <v>35</v>
      </c>
      <c r="L126" s="41"/>
      <c r="M126" s="42" t="str">
        <f>HYPERLINK("https://catalog.onliner.by/xmaslights/neonnight/315889", "https://catalog.onliner.by/xmaslights/neonnight/315889")</f>
        <v>https://catalog.onliner.by/xmaslights/neonnight/315889</v>
      </c>
      <c r="N126" s="42" t="str">
        <f>HYPERLINK("https://pronto.by/catalog/prazdnichnaya-svetotehnika/home-konechnye-potrebiteli/girlyanda-zanaves-dozhd/19407/315-889.html", "https://pronto.by/catalog/prazdnichnaya-svetotehnika/home-konechnye-potrebiteli/girlyanda-zanaves-dozhd/19407/315-889.html")</f>
        <v>https://pronto.by/catalog/prazdnichnaya-svetotehnika/home-konechnye-potrebiteli/girlyanda-zanaves-dozhd/19407/315-889.html</v>
      </c>
    </row>
    <row r="127" spans="1:14" customFormat="1" ht="81.599999999999994">
      <c r="A127" s="35" t="s">
        <v>314</v>
      </c>
      <c r="B127" s="19" t="s">
        <v>315</v>
      </c>
      <c r="C127" s="20" t="s">
        <v>316</v>
      </c>
      <c r="D127" s="36" t="s">
        <v>28</v>
      </c>
      <c r="E127" s="37" t="s">
        <v>3308</v>
      </c>
      <c r="F127" s="43">
        <v>38.760000000000005</v>
      </c>
      <c r="G127" s="100">
        <f t="shared" si="1"/>
        <v>38.76</v>
      </c>
      <c r="H127" s="101"/>
      <c r="I127" s="100">
        <f>G127*H127</f>
        <v>0</v>
      </c>
      <c r="J127" s="39" t="s">
        <v>3336</v>
      </c>
      <c r="K127" s="40" t="s">
        <v>35</v>
      </c>
      <c r="L127" s="41"/>
      <c r="M127" s="42" t="str">
        <f>HYPERLINK("https://catalog.onliner.by/xmaslights/neonnight/315849", "https://catalog.onliner.by/xmaslights/neonnight/315849")</f>
        <v>https://catalog.onliner.by/xmaslights/neonnight/315849</v>
      </c>
      <c r="N127" s="42" t="str">
        <f>HYPERLINK("https://pronto.by/catalog/prazdnichnaya-svetotehnika/home-konechnye-potrebiteli/girlyanda-zanaves-dozhd/19407/315-849.html", "https://pronto.by/catalog/prazdnichnaya-svetotehnika/home-konechnye-potrebiteli/girlyanda-zanaves-dozhd/19407/315-849.html")</f>
        <v>https://pronto.by/catalog/prazdnichnaya-svetotehnika/home-konechnye-potrebiteli/girlyanda-zanaves-dozhd/19407/315-849.html</v>
      </c>
    </row>
    <row r="128" spans="1:14" customFormat="1" ht="81.599999999999994">
      <c r="A128" s="35" t="s">
        <v>317</v>
      </c>
      <c r="B128" s="19" t="s">
        <v>318</v>
      </c>
      <c r="C128" s="20" t="s">
        <v>319</v>
      </c>
      <c r="D128" s="36" t="s">
        <v>28</v>
      </c>
      <c r="E128" s="37" t="s">
        <v>3308</v>
      </c>
      <c r="F128" s="43">
        <v>42.48</v>
      </c>
      <c r="G128" s="100">
        <f t="shared" si="1"/>
        <v>42.48</v>
      </c>
      <c r="H128" s="101"/>
      <c r="I128" s="100">
        <f>G128*H128</f>
        <v>0</v>
      </c>
      <c r="J128" s="39" t="s">
        <v>3336</v>
      </c>
      <c r="K128" s="40" t="s">
        <v>35</v>
      </c>
      <c r="L128" s="41"/>
      <c r="M128" s="42" t="str">
        <f>HYPERLINK("https://catalog.onliner.by/xmaslights/neonnight/315846", "https://catalog.onliner.by/xmaslights/neonnight/315846")</f>
        <v>https://catalog.onliner.by/xmaslights/neonnight/315846</v>
      </c>
      <c r="N128" s="42" t="str">
        <f>HYPERLINK("https://pronto.by/catalog/prazdnichnaya-svetotehnika/home-konechnye-potrebiteli/girlyanda-zanaves-dozhd/19407/315-846.html", "https://pronto.by/catalog/prazdnichnaya-svetotehnika/home-konechnye-potrebiteli/girlyanda-zanaves-dozhd/19407/315-846.html")</f>
        <v>https://pronto.by/catalog/prazdnichnaya-svetotehnika/home-konechnye-potrebiteli/girlyanda-zanaves-dozhd/19407/315-846.html</v>
      </c>
    </row>
    <row r="129" spans="1:14" customFormat="1" ht="81.599999999999994">
      <c r="A129" s="35" t="s">
        <v>320</v>
      </c>
      <c r="B129" s="19" t="s">
        <v>321</v>
      </c>
      <c r="C129" s="20" t="s">
        <v>322</v>
      </c>
      <c r="D129" s="36" t="s">
        <v>28</v>
      </c>
      <c r="E129" s="37" t="s">
        <v>3308</v>
      </c>
      <c r="F129" s="43">
        <v>51</v>
      </c>
      <c r="G129" s="100">
        <f t="shared" si="1"/>
        <v>51</v>
      </c>
      <c r="H129" s="101"/>
      <c r="I129" s="100">
        <f>G129*H129</f>
        <v>0</v>
      </c>
      <c r="J129" s="39" t="s">
        <v>3336</v>
      </c>
      <c r="K129" s="40" t="s">
        <v>35</v>
      </c>
      <c r="L129" s="41"/>
      <c r="M129" s="42" t="str">
        <f>HYPERLINK("https://catalog.onliner.by/xmaslights/neonnight/315845", "https://catalog.onliner.by/xmaslights/neonnight/315845")</f>
        <v>https://catalog.onliner.by/xmaslights/neonnight/315845</v>
      </c>
      <c r="N129" s="42" t="str">
        <f>HYPERLINK("https://pronto.by/catalog/prazdnichnaya-svetotehnika/home-konechnye-potrebiteli/girlyanda-zanaves-dozhd/19407/315-845.html", "https://pronto.by/catalog/prazdnichnaya-svetotehnika/home-konechnye-potrebiteli/girlyanda-zanaves-dozhd/19407/315-845.html")</f>
        <v>https://pronto.by/catalog/prazdnichnaya-svetotehnika/home-konechnye-potrebiteli/girlyanda-zanaves-dozhd/19407/315-845.html</v>
      </c>
    </row>
    <row r="130" spans="1:14" customFormat="1" ht="81.599999999999994">
      <c r="A130" s="35" t="s">
        <v>323</v>
      </c>
      <c r="B130" s="19" t="s">
        <v>324</v>
      </c>
      <c r="C130" s="20" t="s">
        <v>325</v>
      </c>
      <c r="D130" s="36" t="s">
        <v>28</v>
      </c>
      <c r="E130" s="37" t="s">
        <v>3308</v>
      </c>
      <c r="F130" s="43">
        <v>87.12</v>
      </c>
      <c r="G130" s="100">
        <f t="shared" si="1"/>
        <v>87.12</v>
      </c>
      <c r="H130" s="101"/>
      <c r="I130" s="100">
        <f>G130*H130</f>
        <v>0</v>
      </c>
      <c r="J130" s="39" t="s">
        <v>3336</v>
      </c>
      <c r="K130" s="40" t="s">
        <v>35</v>
      </c>
      <c r="L130" s="41"/>
      <c r="M130" s="42" t="str">
        <f>HYPERLINK("https://catalog.onliner.by/xmaslights/neonnight/315856", "https://catalog.onliner.by/xmaslights/neonnight/315856")</f>
        <v>https://catalog.onliner.by/xmaslights/neonnight/315856</v>
      </c>
      <c r="N130" s="42" t="str">
        <f>HYPERLINK("https://pronto.by/catalog/prazdnichnaya-svetotehnika/home-konechnye-potrebiteli/girlyanda-zanaves-dozhd/19407/315-856.html", "https://pronto.by/catalog/prazdnichnaya-svetotehnika/home-konechnye-potrebiteli/girlyanda-zanaves-dozhd/19407/315-856.html")</f>
        <v>https://pronto.by/catalog/prazdnichnaya-svetotehnika/home-konechnye-potrebiteli/girlyanda-zanaves-dozhd/19407/315-856.html</v>
      </c>
    </row>
    <row r="131" spans="1:14" customFormat="1" ht="81.599999999999994">
      <c r="A131" s="35" t="s">
        <v>326</v>
      </c>
      <c r="B131" s="19" t="s">
        <v>327</v>
      </c>
      <c r="C131" s="20" t="s">
        <v>328</v>
      </c>
      <c r="D131" s="36" t="s">
        <v>28</v>
      </c>
      <c r="E131" s="37" t="s">
        <v>3308</v>
      </c>
      <c r="F131" s="43">
        <v>125.46000000000001</v>
      </c>
      <c r="G131" s="100">
        <f t="shared" si="1"/>
        <v>125.46</v>
      </c>
      <c r="H131" s="101"/>
      <c r="I131" s="100">
        <f>G131*H131</f>
        <v>0</v>
      </c>
      <c r="J131" s="39" t="s">
        <v>3336</v>
      </c>
      <c r="K131" s="40" t="s">
        <v>35</v>
      </c>
      <c r="L131" s="41"/>
      <c r="M131" s="42" t="str">
        <f>HYPERLINK("https://catalog.onliner.by/xmaslights/neonnight/315866", "https://catalog.onliner.by/xmaslights/neonnight/315866")</f>
        <v>https://catalog.onliner.by/xmaslights/neonnight/315866</v>
      </c>
      <c r="N131" s="42" t="str">
        <f>HYPERLINK("https://pronto.by/catalog/prazdnichnaya-svetotehnika/home-konechnye-potrebiteli/girlyanda-zanaves-dozhd/19407/315-866.html", "https://pronto.by/catalog/prazdnichnaya-svetotehnika/home-konechnye-potrebiteli/girlyanda-zanaves-dozhd/19407/315-866.html")</f>
        <v>https://pronto.by/catalog/prazdnichnaya-svetotehnika/home-konechnye-potrebiteli/girlyanda-zanaves-dozhd/19407/315-866.html</v>
      </c>
    </row>
    <row r="132" spans="1:14" customFormat="1" ht="15.6">
      <c r="A132" s="80" t="s">
        <v>3378</v>
      </c>
      <c r="B132" s="67"/>
      <c r="C132" s="67"/>
      <c r="D132" s="32"/>
      <c r="E132" s="32"/>
      <c r="F132" s="32"/>
      <c r="G132" s="52"/>
      <c r="H132" s="52"/>
      <c r="I132" s="52"/>
      <c r="J132" s="32"/>
      <c r="K132" s="32"/>
      <c r="L132" s="33"/>
      <c r="M132" s="32"/>
      <c r="N132" s="34"/>
    </row>
    <row r="133" spans="1:14" customFormat="1" ht="69">
      <c r="A133" s="35" t="s">
        <v>329</v>
      </c>
      <c r="B133" s="19" t="s">
        <v>330</v>
      </c>
      <c r="C133" s="20" t="s">
        <v>3379</v>
      </c>
      <c r="D133" s="36" t="s">
        <v>28</v>
      </c>
      <c r="E133" s="37" t="s">
        <v>3287</v>
      </c>
      <c r="F133" s="43">
        <v>20.939999999999998</v>
      </c>
      <c r="G133" s="100">
        <f t="shared" si="1"/>
        <v>20.94</v>
      </c>
      <c r="H133" s="101"/>
      <c r="I133" s="100">
        <f>G133*H133</f>
        <v>0</v>
      </c>
      <c r="J133" s="39" t="s">
        <v>3336</v>
      </c>
      <c r="K133" s="40" t="s">
        <v>41</v>
      </c>
      <c r="L133" s="41"/>
      <c r="M133" s="42" t="str">
        <f>HYPERLINK("https://catalog.onliner.by/xmaslights/neonnight/255009255009", "https://catalog.onliner.by/xmaslights/neonnight/255009255009")</f>
        <v>https://catalog.onliner.by/xmaslights/neonnight/255009255009</v>
      </c>
      <c r="N133" s="42" t="str">
        <f>HYPERLINK("https://pronto.by/catalog/product/255-009.html", "https://pronto.by/catalog/product/255-009.html")</f>
        <v>https://pronto.by/catalog/product/255-009.html</v>
      </c>
    </row>
    <row r="134" spans="1:14" customFormat="1" ht="69">
      <c r="A134" s="35" t="s">
        <v>331</v>
      </c>
      <c r="B134" s="19" t="s">
        <v>332</v>
      </c>
      <c r="C134" s="20" t="s">
        <v>3380</v>
      </c>
      <c r="D134" s="36" t="s">
        <v>28</v>
      </c>
      <c r="E134" s="37" t="s">
        <v>3261</v>
      </c>
      <c r="F134" s="43">
        <v>16.740000000000002</v>
      </c>
      <c r="G134" s="100">
        <f t="shared" si="1"/>
        <v>16.739999999999998</v>
      </c>
      <c r="H134" s="101"/>
      <c r="I134" s="100">
        <f>G134*H134</f>
        <v>0</v>
      </c>
      <c r="J134" s="39" t="s">
        <v>3336</v>
      </c>
      <c r="K134" s="40" t="s">
        <v>41</v>
      </c>
      <c r="L134" s="41"/>
      <c r="M134" s="42" t="str">
        <f>HYPERLINK("https://catalog.onliner.by/xmaslights/neonnight/neon255015", "https://catalog.onliner.by/xmaslights/neonnight/neon255015")</f>
        <v>https://catalog.onliner.by/xmaslights/neonnight/neon255015</v>
      </c>
      <c r="N134" s="42" t="str">
        <f>HYPERLINK("https://pronto.by/catalog/product/255-015.html", "https://pronto.by/catalog/product/255-015.html")</f>
        <v>https://pronto.by/catalog/product/255-015.html</v>
      </c>
    </row>
    <row r="135" spans="1:14" customFormat="1" ht="82.8">
      <c r="A135" s="35" t="s">
        <v>333</v>
      </c>
      <c r="B135" s="19" t="s">
        <v>334</v>
      </c>
      <c r="C135" s="20" t="s">
        <v>3381</v>
      </c>
      <c r="D135" s="36" t="s">
        <v>28</v>
      </c>
      <c r="E135" s="37" t="s">
        <v>3287</v>
      </c>
      <c r="F135" s="43">
        <v>16.740000000000002</v>
      </c>
      <c r="G135" s="100">
        <f t="shared" si="1"/>
        <v>16.739999999999998</v>
      </c>
      <c r="H135" s="101"/>
      <c r="I135" s="100">
        <f>G135*H135</f>
        <v>0</v>
      </c>
      <c r="J135" s="39" t="s">
        <v>3336</v>
      </c>
      <c r="K135" s="40" t="s">
        <v>41</v>
      </c>
      <c r="L135" s="41"/>
      <c r="M135" s="42" t="s">
        <v>335</v>
      </c>
      <c r="N135" s="44"/>
    </row>
    <row r="136" spans="1:14" customFormat="1" ht="69">
      <c r="A136" s="35" t="s">
        <v>336</v>
      </c>
      <c r="B136" s="19" t="s">
        <v>337</v>
      </c>
      <c r="C136" s="20" t="s">
        <v>3382</v>
      </c>
      <c r="D136" s="36" t="s">
        <v>28</v>
      </c>
      <c r="E136" s="37" t="s">
        <v>3287</v>
      </c>
      <c r="F136" s="43">
        <v>16.740000000000002</v>
      </c>
      <c r="G136" s="100">
        <f t="shared" si="1"/>
        <v>16.739999999999998</v>
      </c>
      <c r="H136" s="101"/>
      <c r="I136" s="100">
        <f>G136*H136</f>
        <v>0</v>
      </c>
      <c r="J136" s="39" t="s">
        <v>3336</v>
      </c>
      <c r="K136" s="40" t="s">
        <v>41</v>
      </c>
      <c r="L136" s="41"/>
      <c r="M136" s="42" t="str">
        <f>HYPERLINK("https://catalog.onliner.by/xmaslights/neonnight/neon255013", "https://catalog.onliner.by/xmaslights/neonnight/neon255013")</f>
        <v>https://catalog.onliner.by/xmaslights/neonnight/neon255013</v>
      </c>
      <c r="N136" s="42" t="str">
        <f>HYPERLINK("https://pronto.by/catalog/product/255-013.html", "https://pronto.by/catalog/product/255-013.html")</f>
        <v>https://pronto.by/catalog/product/255-013.html</v>
      </c>
    </row>
    <row r="137" spans="1:14" customFormat="1" ht="82.8">
      <c r="A137" s="35" t="s">
        <v>338</v>
      </c>
      <c r="B137" s="19" t="s">
        <v>339</v>
      </c>
      <c r="C137" s="20" t="s">
        <v>3383</v>
      </c>
      <c r="D137" s="36" t="s">
        <v>28</v>
      </c>
      <c r="E137" s="37" t="s">
        <v>3280</v>
      </c>
      <c r="F137" s="43">
        <v>54.84</v>
      </c>
      <c r="G137" s="100">
        <f t="shared" si="1"/>
        <v>54.84</v>
      </c>
      <c r="H137" s="101"/>
      <c r="I137" s="100">
        <f>G137*H137</f>
        <v>0</v>
      </c>
      <c r="J137" s="39" t="s">
        <v>3336</v>
      </c>
      <c r="K137" s="40" t="s">
        <v>35</v>
      </c>
      <c r="L137" s="41"/>
      <c r="M137" s="42" t="str">
        <f>HYPERLINK("https://catalog.onliner.by/xmaslights/neonnight/neon255075", "https://catalog.onliner.by/xmaslights/neonnight/neon255075")</f>
        <v>https://catalog.onliner.by/xmaslights/neonnight/neon255075</v>
      </c>
      <c r="N137" s="42" t="str">
        <f>HYPERLINK("https://pronto.by/catalog/prazdnichnaya-svetotehnika/home-konechnye-potrebiteli/girlyandy-ekonom/18771/255-075.html", "https://pronto.by/catalog/prazdnichnaya-svetotehnika/home-konechnye-potrebiteli/girlyandy-ekonom/18771/255-075.html")</f>
        <v>https://pronto.by/catalog/prazdnichnaya-svetotehnika/home-konechnye-potrebiteli/girlyandy-ekonom/18771/255-075.html</v>
      </c>
    </row>
    <row r="138" spans="1:14" customFormat="1" ht="15.6">
      <c r="A138" s="80" t="s">
        <v>3384</v>
      </c>
      <c r="B138" s="67"/>
      <c r="C138" s="67"/>
      <c r="D138" s="32"/>
      <c r="E138" s="32"/>
      <c r="F138" s="32"/>
      <c r="G138" s="52"/>
      <c r="H138" s="52"/>
      <c r="I138" s="52"/>
      <c r="J138" s="32"/>
      <c r="K138" s="32"/>
      <c r="L138" s="33"/>
      <c r="M138" s="32"/>
      <c r="N138" s="34"/>
    </row>
    <row r="139" spans="1:14" customFormat="1" ht="41.4">
      <c r="A139" s="35" t="s">
        <v>340</v>
      </c>
      <c r="B139" s="19" t="s">
        <v>341</v>
      </c>
      <c r="C139" s="20" t="s">
        <v>342</v>
      </c>
      <c r="D139" s="36" t="s">
        <v>28</v>
      </c>
      <c r="E139" s="37" t="s">
        <v>3279</v>
      </c>
      <c r="F139" s="43">
        <v>42.48</v>
      </c>
      <c r="G139" s="100">
        <f t="shared" si="1"/>
        <v>42.48</v>
      </c>
      <c r="H139" s="101"/>
      <c r="I139" s="100">
        <f>G139*H139</f>
        <v>0</v>
      </c>
      <c r="J139" s="39" t="s">
        <v>3336</v>
      </c>
      <c r="K139" s="40" t="s">
        <v>35</v>
      </c>
      <c r="L139" s="41"/>
      <c r="M139" s="42" t="str">
        <f>HYPERLINK("https://catalog.onliner.by/xmaslights/neonnight/nn215129", "https://catalog.onliner.by/xmaslights/neonnight/nn215129")</f>
        <v>https://catalog.onliner.by/xmaslights/neonnight/nn215129</v>
      </c>
      <c r="N139" s="42" t="str">
        <f>HYPERLINK("https://pronto.by/catalog/product/215-129.html", "https://pronto.by/catalog/product/215-129.html")</f>
        <v>https://pronto.by/catalog/product/215-129.html</v>
      </c>
    </row>
    <row r="140" spans="1:14" customFormat="1" ht="41.4">
      <c r="A140" s="35" t="s">
        <v>343</v>
      </c>
      <c r="B140" s="19" t="s">
        <v>344</v>
      </c>
      <c r="C140" s="20" t="s">
        <v>345</v>
      </c>
      <c r="D140" s="36" t="s">
        <v>28</v>
      </c>
      <c r="E140" s="37" t="s">
        <v>3279</v>
      </c>
      <c r="F140" s="43">
        <v>42.48</v>
      </c>
      <c r="G140" s="100">
        <f t="shared" si="1"/>
        <v>42.48</v>
      </c>
      <c r="H140" s="101"/>
      <c r="I140" s="100">
        <f>G140*H140</f>
        <v>0</v>
      </c>
      <c r="J140" s="39" t="s">
        <v>3336</v>
      </c>
      <c r="K140" s="40" t="s">
        <v>35</v>
      </c>
      <c r="L140" s="41"/>
      <c r="M140" s="42" t="str">
        <f>HYPERLINK("https://catalog.onliner.by/xmaslights/neonnight/215126215126", "https://catalog.onliner.by/xmaslights/neonnight/215126215126")</f>
        <v>https://catalog.onliner.by/xmaslights/neonnight/215126215126</v>
      </c>
      <c r="N140" s="42" t="str">
        <f>HYPERLINK("https://pronto.by/catalog/product/215-126.html", "https://pronto.by/catalog/product/215-126.html")</f>
        <v>https://pronto.by/catalog/product/215-126.html</v>
      </c>
    </row>
    <row r="141" spans="1:14" customFormat="1" ht="41.4">
      <c r="A141" s="35" t="s">
        <v>346</v>
      </c>
      <c r="B141" s="19" t="s">
        <v>347</v>
      </c>
      <c r="C141" s="20" t="s">
        <v>3385</v>
      </c>
      <c r="D141" s="36" t="s">
        <v>28</v>
      </c>
      <c r="E141" s="37" t="s">
        <v>3279</v>
      </c>
      <c r="F141" s="43">
        <v>50.580000000000005</v>
      </c>
      <c r="G141" s="100">
        <f t="shared" si="1"/>
        <v>50.58</v>
      </c>
      <c r="H141" s="101"/>
      <c r="I141" s="100">
        <f>G141*H141</f>
        <v>0</v>
      </c>
      <c r="J141" s="39" t="s">
        <v>3336</v>
      </c>
      <c r="K141" s="40" t="s">
        <v>35</v>
      </c>
      <c r="L141" s="41"/>
      <c r="M141" s="42" t="str">
        <f>HYPERLINK("https://catalog.onliner.by/xmaslights/neonnight/nn215135", "https://catalog.onliner.by/xmaslights/neonnight/nn215135")</f>
        <v>https://catalog.onliner.by/xmaslights/neonnight/nn215135</v>
      </c>
      <c r="N141" s="42" t="str">
        <f>HYPERLINK("https://pronto.by/catalog/product/215-135.html", "https://pronto.by/catalog/product/215-135.html")</f>
        <v>https://pronto.by/catalog/product/215-135.html</v>
      </c>
    </row>
    <row r="142" spans="1:14" customFormat="1" ht="41.4">
      <c r="A142" s="35" t="s">
        <v>348</v>
      </c>
      <c r="B142" s="19" t="s">
        <v>349</v>
      </c>
      <c r="C142" s="20" t="s">
        <v>350</v>
      </c>
      <c r="D142" s="36" t="s">
        <v>28</v>
      </c>
      <c r="E142" s="37" t="s">
        <v>3279</v>
      </c>
      <c r="F142" s="43">
        <v>50.580000000000005</v>
      </c>
      <c r="G142" s="100">
        <f t="shared" si="1"/>
        <v>50.58</v>
      </c>
      <c r="H142" s="101"/>
      <c r="I142" s="100">
        <f>G142*H142</f>
        <v>0</v>
      </c>
      <c r="J142" s="39" t="s">
        <v>3336</v>
      </c>
      <c r="K142" s="40" t="s">
        <v>41</v>
      </c>
      <c r="L142" s="41"/>
      <c r="M142" s="42" t="str">
        <f>HYPERLINK("https://catalog.onliner.by/xmaslights/neonnight/nn215139", "https://catalog.onliner.by/xmaslights/neonnight/nn215139")</f>
        <v>https://catalog.onliner.by/xmaslights/neonnight/nn215139</v>
      </c>
      <c r="N142" s="42" t="str">
        <f>HYPERLINK("https://pronto.by/catalog/product/215-139.html", "https://pronto.by/catalog/product/215-139.html")</f>
        <v>https://pronto.by/catalog/product/215-139.html</v>
      </c>
    </row>
    <row r="143" spans="1:14" customFormat="1" ht="41.4">
      <c r="A143" s="35" t="s">
        <v>351</v>
      </c>
      <c r="B143" s="19" t="s">
        <v>352</v>
      </c>
      <c r="C143" s="20" t="s">
        <v>3386</v>
      </c>
      <c r="D143" s="36" t="s">
        <v>28</v>
      </c>
      <c r="E143" s="37" t="s">
        <v>3279</v>
      </c>
      <c r="F143" s="43">
        <v>50.580000000000005</v>
      </c>
      <c r="G143" s="100">
        <f t="shared" ref="G143:G204" si="2">ROUND(F143-F143*G$3,2)</f>
        <v>50.58</v>
      </c>
      <c r="H143" s="101"/>
      <c r="I143" s="100">
        <f>G143*H143</f>
        <v>0</v>
      </c>
      <c r="J143" s="39" t="s">
        <v>3336</v>
      </c>
      <c r="K143" s="40" t="s">
        <v>41</v>
      </c>
      <c r="L143" s="41"/>
      <c r="M143" s="42" t="str">
        <f>HYPERLINK("https://catalog.onliner.by/xmaslights/neonnight/215133215133", "https://catalog.onliner.by/xmaslights/neonnight/215133215133")</f>
        <v>https://catalog.onliner.by/xmaslights/neonnight/215133215133</v>
      </c>
      <c r="N143" s="42" t="str">
        <f>HYPERLINK("https://pronto.by/catalog/product/215-133.html", "https://pronto.by/catalog/product/215-133.html")</f>
        <v>https://pronto.by/catalog/product/215-133.html</v>
      </c>
    </row>
    <row r="144" spans="1:14" customFormat="1" ht="41.4">
      <c r="A144" s="35" t="s">
        <v>353</v>
      </c>
      <c r="B144" s="19" t="s">
        <v>354</v>
      </c>
      <c r="C144" s="20" t="s">
        <v>355</v>
      </c>
      <c r="D144" s="36" t="s">
        <v>28</v>
      </c>
      <c r="E144" s="37" t="s">
        <v>3279</v>
      </c>
      <c r="F144" s="43">
        <v>50.580000000000005</v>
      </c>
      <c r="G144" s="100">
        <f t="shared" si="2"/>
        <v>50.58</v>
      </c>
      <c r="H144" s="101"/>
      <c r="I144" s="100">
        <f>G144*H144</f>
        <v>0</v>
      </c>
      <c r="J144" s="39" t="s">
        <v>3336</v>
      </c>
      <c r="K144" s="40" t="s">
        <v>41</v>
      </c>
      <c r="L144" s="41"/>
      <c r="M144" s="42" t="str">
        <f>HYPERLINK("https://catalog.onliner.by/xmaslights/neonnight/215136215136", "https://catalog.onliner.by/xmaslights/neonnight/215136215136")</f>
        <v>https://catalog.onliner.by/xmaslights/neonnight/215136215136</v>
      </c>
      <c r="N144" s="42" t="str">
        <f>HYPERLINK("https://pronto.by/catalog/product/215-136.html", "https://pronto.by/catalog/product/215-136.html")</f>
        <v>https://pronto.by/catalog/product/215-136.html</v>
      </c>
    </row>
    <row r="145" spans="1:14" customFormat="1" ht="41.4">
      <c r="A145" s="35" t="s">
        <v>356</v>
      </c>
      <c r="B145" s="19" t="s">
        <v>357</v>
      </c>
      <c r="C145" s="20" t="s">
        <v>358</v>
      </c>
      <c r="D145" s="36" t="s">
        <v>28</v>
      </c>
      <c r="E145" s="37" t="s">
        <v>3279</v>
      </c>
      <c r="F145" s="43">
        <v>33.54</v>
      </c>
      <c r="G145" s="100">
        <f t="shared" si="2"/>
        <v>33.54</v>
      </c>
      <c r="H145" s="101"/>
      <c r="I145" s="100">
        <f>G145*H145</f>
        <v>0</v>
      </c>
      <c r="J145" s="39" t="s">
        <v>3336</v>
      </c>
      <c r="K145" s="40" t="s">
        <v>41</v>
      </c>
      <c r="L145" s="41"/>
      <c r="M145" s="42" t="str">
        <f>HYPERLINK("https://catalog.onliner.by/xmaslights/neonnight/nn2151196", "https://catalog.onliner.by/xmaslights/neonnight/nn2151196")</f>
        <v>https://catalog.onliner.by/xmaslights/neonnight/nn2151196</v>
      </c>
      <c r="N145" s="42" t="str">
        <f>HYPERLINK("https://pronto.by/catalog/product/215-119-6.html", "https://pronto.by/catalog/product/215-119-6.html")</f>
        <v>https://pronto.by/catalog/product/215-119-6.html</v>
      </c>
    </row>
    <row r="146" spans="1:14" customFormat="1" ht="15.6">
      <c r="A146" s="80" t="s">
        <v>3387</v>
      </c>
      <c r="B146" s="67"/>
      <c r="C146" s="67"/>
      <c r="D146" s="32"/>
      <c r="E146" s="32"/>
      <c r="F146" s="32"/>
      <c r="G146" s="52"/>
      <c r="H146" s="52"/>
      <c r="I146" s="52"/>
      <c r="J146" s="32"/>
      <c r="K146" s="32"/>
      <c r="L146" s="33"/>
      <c r="M146" s="32"/>
      <c r="N146" s="34"/>
    </row>
    <row r="147" spans="1:14" customFormat="1" ht="41.4">
      <c r="A147" s="35" t="s">
        <v>359</v>
      </c>
      <c r="B147" s="19" t="s">
        <v>360</v>
      </c>
      <c r="C147" s="20" t="s">
        <v>361</v>
      </c>
      <c r="D147" s="36" t="s">
        <v>28</v>
      </c>
      <c r="E147" s="37" t="s">
        <v>3287</v>
      </c>
      <c r="F147" s="43">
        <v>12.540000000000001</v>
      </c>
      <c r="G147" s="100">
        <f t="shared" si="2"/>
        <v>12.54</v>
      </c>
      <c r="H147" s="101"/>
      <c r="I147" s="100">
        <f>G147*H147</f>
        <v>0</v>
      </c>
      <c r="J147" s="39" t="s">
        <v>3336</v>
      </c>
      <c r="K147" s="40" t="s">
        <v>41</v>
      </c>
      <c r="L147" s="41"/>
      <c r="M147" s="42" t="s">
        <v>362</v>
      </c>
      <c r="N147" s="44"/>
    </row>
    <row r="148" spans="1:14" customFormat="1" ht="41.4">
      <c r="A148" s="35" t="s">
        <v>363</v>
      </c>
      <c r="B148" s="19" t="s">
        <v>364</v>
      </c>
      <c r="C148" s="20" t="s">
        <v>365</v>
      </c>
      <c r="D148" s="36" t="s">
        <v>28</v>
      </c>
      <c r="E148" s="37" t="s">
        <v>3287</v>
      </c>
      <c r="F148" s="43">
        <v>12.540000000000001</v>
      </c>
      <c r="G148" s="100">
        <f t="shared" si="2"/>
        <v>12.54</v>
      </c>
      <c r="H148" s="101"/>
      <c r="I148" s="100">
        <f>G148*H148</f>
        <v>0</v>
      </c>
      <c r="J148" s="39" t="s">
        <v>3336</v>
      </c>
      <c r="K148" s="40" t="s">
        <v>35</v>
      </c>
      <c r="L148" s="41"/>
      <c r="M148" s="42" t="str">
        <f>HYPERLINK("https://catalog.onliner.by/xmaslights/neonnight/nn303166", "https://catalog.onliner.by/xmaslights/neonnight/nn303166")</f>
        <v>https://catalog.onliner.by/xmaslights/neonnight/nn303166</v>
      </c>
      <c r="N148" s="42" t="str">
        <f>HYPERLINK("https://pronto.by/catalog/product/303-166.html", "https://pronto.by/catalog/product/303-166.html")</f>
        <v>https://pronto.by/catalog/product/303-166.html</v>
      </c>
    </row>
    <row r="149" spans="1:14" customFormat="1" ht="41.4">
      <c r="A149" s="35" t="s">
        <v>366</v>
      </c>
      <c r="B149" s="19" t="s">
        <v>367</v>
      </c>
      <c r="C149" s="20" t="s">
        <v>368</v>
      </c>
      <c r="D149" s="36" t="s">
        <v>28</v>
      </c>
      <c r="E149" s="37" t="s">
        <v>3287</v>
      </c>
      <c r="F149" s="43">
        <v>12.540000000000001</v>
      </c>
      <c r="G149" s="100">
        <f t="shared" si="2"/>
        <v>12.54</v>
      </c>
      <c r="H149" s="101"/>
      <c r="I149" s="100">
        <f>G149*H149</f>
        <v>0</v>
      </c>
      <c r="J149" s="39" t="s">
        <v>3336</v>
      </c>
      <c r="K149" s="40" t="s">
        <v>41</v>
      </c>
      <c r="L149" s="41"/>
      <c r="M149" s="42" t="str">
        <f>HYPERLINK("https://catalog.onliner.by/xmaslights/neonnight/nn303165", "https://catalog.onliner.by/xmaslights/neonnight/nn303165")</f>
        <v>https://catalog.onliner.by/xmaslights/neonnight/nn303165</v>
      </c>
      <c r="N149" s="42" t="str">
        <f>HYPERLINK("https://pronto.by/catalog/product/303-165.html", "https://pronto.by/catalog/product/303-165.html")</f>
        <v>https://pronto.by/catalog/product/303-165.html</v>
      </c>
    </row>
    <row r="150" spans="1:14" customFormat="1" ht="41.4">
      <c r="A150" s="35" t="s">
        <v>369</v>
      </c>
      <c r="B150" s="19" t="s">
        <v>370</v>
      </c>
      <c r="C150" s="20" t="s">
        <v>371</v>
      </c>
      <c r="D150" s="36" t="s">
        <v>28</v>
      </c>
      <c r="E150" s="37" t="s">
        <v>3287</v>
      </c>
      <c r="F150" s="43">
        <v>12.540000000000001</v>
      </c>
      <c r="G150" s="100">
        <f t="shared" si="2"/>
        <v>12.54</v>
      </c>
      <c r="H150" s="101"/>
      <c r="I150" s="100">
        <f>G150*H150</f>
        <v>0</v>
      </c>
      <c r="J150" s="39" t="s">
        <v>3336</v>
      </c>
      <c r="K150" s="40" t="s">
        <v>41</v>
      </c>
      <c r="L150" s="41"/>
      <c r="M150" s="42" t="str">
        <f>HYPERLINK("https://catalog.onliner.by/xmaslights/neonnight/nn303015", "https://catalog.onliner.by/xmaslights/neonnight/nn303015")</f>
        <v>https://catalog.onliner.by/xmaslights/neonnight/nn303015</v>
      </c>
      <c r="N150" s="42" t="str">
        <f>HYPERLINK("https://pronto.by/catalog/product/303-015.html", "https://pronto.by/catalog/product/303-015.html")</f>
        <v>https://pronto.by/catalog/product/303-015.html</v>
      </c>
    </row>
    <row r="151" spans="1:14" customFormat="1" ht="41.4">
      <c r="A151" s="35" t="s">
        <v>372</v>
      </c>
      <c r="B151" s="19" t="s">
        <v>373</v>
      </c>
      <c r="C151" s="20" t="s">
        <v>374</v>
      </c>
      <c r="D151" s="36" t="s">
        <v>28</v>
      </c>
      <c r="E151" s="37" t="s">
        <v>3287</v>
      </c>
      <c r="F151" s="43">
        <v>12.540000000000001</v>
      </c>
      <c r="G151" s="100">
        <f t="shared" si="2"/>
        <v>12.54</v>
      </c>
      <c r="H151" s="101"/>
      <c r="I151" s="100">
        <f>G151*H151</f>
        <v>0</v>
      </c>
      <c r="J151" s="39" t="s">
        <v>3336</v>
      </c>
      <c r="K151" s="40" t="s">
        <v>41</v>
      </c>
      <c r="L151" s="41"/>
      <c r="M151" s="42" t="s">
        <v>375</v>
      </c>
      <c r="N151" s="44"/>
    </row>
    <row r="152" spans="1:14" customFormat="1" ht="41.4">
      <c r="A152" s="35" t="s">
        <v>376</v>
      </c>
      <c r="B152" s="19" t="s">
        <v>377</v>
      </c>
      <c r="C152" s="20" t="s">
        <v>378</v>
      </c>
      <c r="D152" s="36" t="s">
        <v>28</v>
      </c>
      <c r="E152" s="37" t="s">
        <v>3287</v>
      </c>
      <c r="F152" s="43">
        <v>12.540000000000001</v>
      </c>
      <c r="G152" s="100">
        <f t="shared" si="2"/>
        <v>12.54</v>
      </c>
      <c r="H152" s="101"/>
      <c r="I152" s="100">
        <f>G152*H152</f>
        <v>0</v>
      </c>
      <c r="J152" s="39" t="s">
        <v>3336</v>
      </c>
      <c r="K152" s="40" t="s">
        <v>41</v>
      </c>
      <c r="L152" s="41"/>
      <c r="M152" s="42" t="str">
        <f>HYPERLINK("https://catalog.onliner.by/xmaslights/neonnight/303013303013", "https://catalog.onliner.by/xmaslights/neonnight/303013303013")</f>
        <v>https://catalog.onliner.by/xmaslights/neonnight/303013303013</v>
      </c>
      <c r="N152" s="42" t="str">
        <f>HYPERLINK("https://pronto.by/catalog/product/303-013.html", "https://pronto.by/catalog/product/303-013.html")</f>
        <v>https://pronto.by/catalog/product/303-013.html</v>
      </c>
    </row>
    <row r="153" spans="1:14" customFormat="1" ht="41.4">
      <c r="A153" s="35" t="s">
        <v>379</v>
      </c>
      <c r="B153" s="19" t="s">
        <v>380</v>
      </c>
      <c r="C153" s="20" t="s">
        <v>381</v>
      </c>
      <c r="D153" s="36" t="s">
        <v>28</v>
      </c>
      <c r="E153" s="37" t="s">
        <v>3260</v>
      </c>
      <c r="F153" s="43">
        <v>12.540000000000001</v>
      </c>
      <c r="G153" s="100">
        <f t="shared" si="2"/>
        <v>12.54</v>
      </c>
      <c r="H153" s="101"/>
      <c r="I153" s="100">
        <f>G153*H153</f>
        <v>0</v>
      </c>
      <c r="J153" s="39" t="s">
        <v>3336</v>
      </c>
      <c r="K153" s="40" t="s">
        <v>41</v>
      </c>
      <c r="L153" s="41"/>
      <c r="M153" s="44"/>
      <c r="N153" s="44"/>
    </row>
    <row r="154" spans="1:14" customFormat="1" ht="15.6">
      <c r="A154" s="80" t="s">
        <v>3388</v>
      </c>
      <c r="B154" s="67"/>
      <c r="C154" s="67"/>
      <c r="D154" s="32"/>
      <c r="E154" s="32"/>
      <c r="F154" s="32"/>
      <c r="G154" s="52"/>
      <c r="H154" s="52"/>
      <c r="I154" s="52"/>
      <c r="J154" s="32"/>
      <c r="K154" s="32"/>
      <c r="L154" s="33"/>
      <c r="M154" s="32"/>
      <c r="N154" s="34"/>
    </row>
    <row r="155" spans="1:14" customFormat="1" ht="41.4">
      <c r="A155" s="35" t="s">
        <v>382</v>
      </c>
      <c r="B155" s="19" t="s">
        <v>383</v>
      </c>
      <c r="C155" s="20" t="s">
        <v>384</v>
      </c>
      <c r="D155" s="36" t="s">
        <v>28</v>
      </c>
      <c r="E155" s="37" t="s">
        <v>3260</v>
      </c>
      <c r="F155" s="43">
        <v>14.64</v>
      </c>
      <c r="G155" s="100">
        <f t="shared" si="2"/>
        <v>14.64</v>
      </c>
      <c r="H155" s="101"/>
      <c r="I155" s="100">
        <f>G155*H155</f>
        <v>0</v>
      </c>
      <c r="J155" s="39" t="s">
        <v>3336</v>
      </c>
      <c r="K155" s="40" t="s">
        <v>35</v>
      </c>
      <c r="L155" s="41"/>
      <c r="M155" s="42" t="str">
        <f>HYPERLINK("https://catalog.onliner.by/xmaslights/neonnight/nn303175", "https://catalog.onliner.by/xmaslights/neonnight/nn303175")</f>
        <v>https://catalog.onliner.by/xmaslights/neonnight/nn303175</v>
      </c>
      <c r="N155" s="42" t="str">
        <f>HYPERLINK("https://pronto.by/catalog/product/303-175.html", "https://pronto.by/catalog/product/303-175.html")</f>
        <v>https://pronto.by/catalog/product/303-175.html</v>
      </c>
    </row>
    <row r="156" spans="1:14" customFormat="1" ht="41.4">
      <c r="A156" s="35" t="s">
        <v>385</v>
      </c>
      <c r="B156" s="19" t="s">
        <v>386</v>
      </c>
      <c r="C156" s="20" t="s">
        <v>387</v>
      </c>
      <c r="D156" s="36" t="s">
        <v>28</v>
      </c>
      <c r="E156" s="37" t="s">
        <v>3260</v>
      </c>
      <c r="F156" s="43">
        <v>14.64</v>
      </c>
      <c r="G156" s="100">
        <f t="shared" si="2"/>
        <v>14.64</v>
      </c>
      <c r="H156" s="101"/>
      <c r="I156" s="100">
        <f>G156*H156</f>
        <v>0</v>
      </c>
      <c r="J156" s="39" t="s">
        <v>3336</v>
      </c>
      <c r="K156" s="40" t="s">
        <v>41</v>
      </c>
      <c r="L156" s="41"/>
      <c r="M156" s="42" t="str">
        <f>HYPERLINK("https://catalog.onliner.by/xmaslights/neonnight/nn303179", "https://catalog.onliner.by/xmaslights/neonnight/nn303179")</f>
        <v>https://catalog.onliner.by/xmaslights/neonnight/nn303179</v>
      </c>
      <c r="N156" s="42" t="str">
        <f>HYPERLINK("https://pronto.by/catalog/product/303-179.html", "https://pronto.by/catalog/product/303-179.html")</f>
        <v>https://pronto.by/catalog/product/303-179.html</v>
      </c>
    </row>
    <row r="157" spans="1:14" customFormat="1" ht="41.4">
      <c r="A157" s="35" t="s">
        <v>388</v>
      </c>
      <c r="B157" s="19" t="s">
        <v>389</v>
      </c>
      <c r="C157" s="20" t="s">
        <v>390</v>
      </c>
      <c r="D157" s="36" t="s">
        <v>28</v>
      </c>
      <c r="E157" s="37" t="s">
        <v>3260</v>
      </c>
      <c r="F157" s="43">
        <v>14.64</v>
      </c>
      <c r="G157" s="100">
        <f t="shared" si="2"/>
        <v>14.64</v>
      </c>
      <c r="H157" s="101"/>
      <c r="I157" s="100">
        <f>G157*H157</f>
        <v>0</v>
      </c>
      <c r="J157" s="39" t="s">
        <v>3336</v>
      </c>
      <c r="K157" s="40" t="s">
        <v>35</v>
      </c>
      <c r="L157" s="41"/>
      <c r="M157" s="42" t="str">
        <f>HYPERLINK("https://catalog.onliner.by/xmaslights/neonnight/nn303176", "https://catalog.onliner.by/xmaslights/neonnight/nn303176")</f>
        <v>https://catalog.onliner.by/xmaslights/neonnight/nn303176</v>
      </c>
      <c r="N157" s="42" t="str">
        <f>HYPERLINK("https://pronto.by/catalog/product/303-176.html", "https://pronto.by/catalog/product/303-176.html")</f>
        <v>https://pronto.by/catalog/product/303-176.html</v>
      </c>
    </row>
    <row r="158" spans="1:14" customFormat="1" ht="41.4">
      <c r="A158" s="35" t="s">
        <v>391</v>
      </c>
      <c r="B158" s="19" t="s">
        <v>392</v>
      </c>
      <c r="C158" s="20" t="s">
        <v>393</v>
      </c>
      <c r="D158" s="36" t="s">
        <v>28</v>
      </c>
      <c r="E158" s="37" t="s">
        <v>3287</v>
      </c>
      <c r="F158" s="43">
        <v>14.64</v>
      </c>
      <c r="G158" s="100">
        <f t="shared" si="2"/>
        <v>14.64</v>
      </c>
      <c r="H158" s="101"/>
      <c r="I158" s="100">
        <f>G158*H158</f>
        <v>0</v>
      </c>
      <c r="J158" s="39" t="s">
        <v>3336</v>
      </c>
      <c r="K158" s="40" t="s">
        <v>41</v>
      </c>
      <c r="L158" s="41"/>
      <c r="M158" s="42" t="str">
        <f>HYPERLINK("https://catalog.onliner.by/xmaslights/neonnight/nn303025", "https://catalog.onliner.by/xmaslights/neonnight/nn303025")</f>
        <v>https://catalog.onliner.by/xmaslights/neonnight/nn303025</v>
      </c>
      <c r="N158" s="42" t="str">
        <f>HYPERLINK("https://pronto.by/catalog/product/303-025.html", "https://pronto.by/catalog/product/303-025.html")</f>
        <v>https://pronto.by/catalog/product/303-025.html</v>
      </c>
    </row>
    <row r="159" spans="1:14" customFormat="1" ht="41.4">
      <c r="A159" s="35" t="s">
        <v>394</v>
      </c>
      <c r="B159" s="19" t="s">
        <v>395</v>
      </c>
      <c r="C159" s="20" t="s">
        <v>396</v>
      </c>
      <c r="D159" s="36" t="s">
        <v>28</v>
      </c>
      <c r="E159" s="37" t="s">
        <v>3260</v>
      </c>
      <c r="F159" s="43">
        <v>14.64</v>
      </c>
      <c r="G159" s="100">
        <f t="shared" si="2"/>
        <v>14.64</v>
      </c>
      <c r="H159" s="101"/>
      <c r="I159" s="100">
        <f>G159*H159</f>
        <v>0</v>
      </c>
      <c r="J159" s="39" t="s">
        <v>3336</v>
      </c>
      <c r="K159" s="40" t="s">
        <v>41</v>
      </c>
      <c r="L159" s="41"/>
      <c r="M159" s="42" t="s">
        <v>397</v>
      </c>
      <c r="N159" s="44"/>
    </row>
    <row r="160" spans="1:14" customFormat="1" ht="41.4">
      <c r="A160" s="35" t="s">
        <v>3263</v>
      </c>
      <c r="B160" s="19" t="s">
        <v>3389</v>
      </c>
      <c r="C160" s="20" t="s">
        <v>3390</v>
      </c>
      <c r="D160" s="36" t="s">
        <v>28</v>
      </c>
      <c r="E160" s="37" t="s">
        <v>3287</v>
      </c>
      <c r="F160" s="43">
        <v>14.64</v>
      </c>
      <c r="G160" s="100">
        <f t="shared" si="2"/>
        <v>14.64</v>
      </c>
      <c r="H160" s="101"/>
      <c r="I160" s="100">
        <f>G160*H160</f>
        <v>0</v>
      </c>
      <c r="J160" s="39" t="s">
        <v>3336</v>
      </c>
      <c r="K160" s="40" t="s">
        <v>35</v>
      </c>
      <c r="L160" s="41"/>
      <c r="M160" s="42" t="str">
        <f>HYPERLINK("https://catalog.onliner.by/xmaslights/neonnight/303023303023", "https://catalog.onliner.by/xmaslights/neonnight/303023303023")</f>
        <v>https://catalog.onliner.by/xmaslights/neonnight/303023303023</v>
      </c>
      <c r="N160" s="42" t="str">
        <f>HYPERLINK("https://pronto.by/catalog/product/303-023.html", "https://pronto.by/catalog/product/303-023.html")</f>
        <v>https://pronto.by/catalog/product/303-023.html</v>
      </c>
    </row>
    <row r="161" spans="1:14" customFormat="1" ht="41.4">
      <c r="A161" s="35" t="s">
        <v>398</v>
      </c>
      <c r="B161" s="19" t="s">
        <v>399</v>
      </c>
      <c r="C161" s="20" t="s">
        <v>400</v>
      </c>
      <c r="D161" s="36" t="s">
        <v>28</v>
      </c>
      <c r="E161" s="37" t="s">
        <v>3287</v>
      </c>
      <c r="F161" s="43">
        <v>14.64</v>
      </c>
      <c r="G161" s="100">
        <f t="shared" si="2"/>
        <v>14.64</v>
      </c>
      <c r="H161" s="101"/>
      <c r="I161" s="100">
        <f>G161*H161</f>
        <v>0</v>
      </c>
      <c r="J161" s="39" t="s">
        <v>3336</v>
      </c>
      <c r="K161" s="40" t="s">
        <v>41</v>
      </c>
      <c r="L161" s="41"/>
      <c r="M161" s="44"/>
      <c r="N161" s="44"/>
    </row>
    <row r="162" spans="1:14" customFormat="1" ht="15.6">
      <c r="A162" s="80" t="s">
        <v>3391</v>
      </c>
      <c r="B162" s="67"/>
      <c r="C162" s="67"/>
      <c r="D162" s="32"/>
      <c r="E162" s="32"/>
      <c r="F162" s="32"/>
      <c r="G162" s="52"/>
      <c r="H162" s="52"/>
      <c r="I162" s="52"/>
      <c r="J162" s="32"/>
      <c r="K162" s="32"/>
      <c r="L162" s="33"/>
      <c r="M162" s="33"/>
      <c r="N162" s="34"/>
    </row>
    <row r="163" spans="1:14" customFormat="1" ht="41.4">
      <c r="A163" s="35" t="s">
        <v>401</v>
      </c>
      <c r="B163" s="19" t="s">
        <v>402</v>
      </c>
      <c r="C163" s="20" t="s">
        <v>403</v>
      </c>
      <c r="D163" s="36" t="s">
        <v>28</v>
      </c>
      <c r="E163" s="37" t="s">
        <v>3279</v>
      </c>
      <c r="F163" s="43">
        <v>20.939999999999998</v>
      </c>
      <c r="G163" s="100">
        <f t="shared" si="2"/>
        <v>20.94</v>
      </c>
      <c r="H163" s="101"/>
      <c r="I163" s="100">
        <f>G163*H163</f>
        <v>0</v>
      </c>
      <c r="J163" s="39" t="s">
        <v>3336</v>
      </c>
      <c r="K163" s="40" t="s">
        <v>41</v>
      </c>
      <c r="L163" s="41"/>
      <c r="M163" s="42" t="str">
        <f>HYPERLINK("https://catalog.onliner.by/xmaslights/neonnight/nn303185", "https://catalog.onliner.by/xmaslights/neonnight/nn303185")</f>
        <v>https://catalog.onliner.by/xmaslights/neonnight/nn303185</v>
      </c>
      <c r="N163" s="42" t="str">
        <f>HYPERLINK("https://pronto.by/catalog/product/303-185.html", "https://pronto.by/catalog/product/303-185.html")</f>
        <v>https://pronto.by/catalog/product/303-185.html</v>
      </c>
    </row>
    <row r="164" spans="1:14" customFormat="1" ht="41.4">
      <c r="A164" s="35" t="s">
        <v>404</v>
      </c>
      <c r="B164" s="19" t="s">
        <v>405</v>
      </c>
      <c r="C164" s="20" t="s">
        <v>406</v>
      </c>
      <c r="D164" s="36" t="s">
        <v>28</v>
      </c>
      <c r="E164" s="37" t="s">
        <v>3279</v>
      </c>
      <c r="F164" s="43">
        <v>20.939999999999998</v>
      </c>
      <c r="G164" s="100">
        <f t="shared" si="2"/>
        <v>20.94</v>
      </c>
      <c r="H164" s="101"/>
      <c r="I164" s="100">
        <f>G164*H164</f>
        <v>0</v>
      </c>
      <c r="J164" s="39" t="s">
        <v>3336</v>
      </c>
      <c r="K164" s="40" t="s">
        <v>41</v>
      </c>
      <c r="L164" s="41"/>
      <c r="M164" s="42" t="str">
        <f>HYPERLINK("https://catalog.onliner.by/xmaslights/neonnight/nn303189", "https://catalog.onliner.by/xmaslights/neonnight/nn303189")</f>
        <v>https://catalog.onliner.by/xmaslights/neonnight/nn303189</v>
      </c>
      <c r="N164" s="42" t="str">
        <f>HYPERLINK("https://pronto.by/catalog/product/303-189.html", "https://pronto.by/catalog/product/303-189.html")</f>
        <v>https://pronto.by/catalog/product/303-189.html</v>
      </c>
    </row>
    <row r="165" spans="1:14" customFormat="1" ht="41.4">
      <c r="A165" s="35" t="s">
        <v>407</v>
      </c>
      <c r="B165" s="19" t="s">
        <v>408</v>
      </c>
      <c r="C165" s="20" t="s">
        <v>409</v>
      </c>
      <c r="D165" s="36" t="s">
        <v>28</v>
      </c>
      <c r="E165" s="37" t="s">
        <v>3279</v>
      </c>
      <c r="F165" s="43">
        <v>20.939999999999998</v>
      </c>
      <c r="G165" s="100">
        <f t="shared" si="2"/>
        <v>20.94</v>
      </c>
      <c r="H165" s="101"/>
      <c r="I165" s="100">
        <f>G165*H165</f>
        <v>0</v>
      </c>
      <c r="J165" s="39" t="s">
        <v>3336</v>
      </c>
      <c r="K165" s="40" t="s">
        <v>41</v>
      </c>
      <c r="L165" s="41"/>
      <c r="M165" s="42" t="str">
        <f>HYPERLINK("https://catalog.onliner.by/xmaslights/neonnight/nn303186", "https://catalog.onliner.by/xmaslights/neonnight/nn303186")</f>
        <v>https://catalog.onliner.by/xmaslights/neonnight/nn303186</v>
      </c>
      <c r="N165" s="42" t="str">
        <f>HYPERLINK("https://pronto.by/catalog/product/303-186.html", "https://pronto.by/catalog/product/303-186.html")</f>
        <v>https://pronto.by/catalog/product/303-186.html</v>
      </c>
    </row>
    <row r="166" spans="1:14" customFormat="1" ht="41.4">
      <c r="A166" s="35" t="s">
        <v>410</v>
      </c>
      <c r="B166" s="19" t="s">
        <v>411</v>
      </c>
      <c r="C166" s="20" t="s">
        <v>412</v>
      </c>
      <c r="D166" s="36" t="s">
        <v>28</v>
      </c>
      <c r="E166" s="37" t="s">
        <v>3279</v>
      </c>
      <c r="F166" s="43">
        <v>20.939999999999998</v>
      </c>
      <c r="G166" s="100">
        <f t="shared" si="2"/>
        <v>20.94</v>
      </c>
      <c r="H166" s="101"/>
      <c r="I166" s="100">
        <f>G166*H166</f>
        <v>0</v>
      </c>
      <c r="J166" s="39" t="s">
        <v>3336</v>
      </c>
      <c r="K166" s="40" t="s">
        <v>41</v>
      </c>
      <c r="L166" s="41"/>
      <c r="M166" s="42" t="str">
        <f>HYPERLINK("https://catalog.onliner.by/xmaslights/neonnight/nn303045", "https://catalog.onliner.by/xmaslights/neonnight/nn303045")</f>
        <v>https://catalog.onliner.by/xmaslights/neonnight/nn303045</v>
      </c>
      <c r="N166" s="42" t="str">
        <f>HYPERLINK("https://pronto.by/catalog/product/303-045.html", "https://pronto.by/catalog/product/303-045.html")</f>
        <v>https://pronto.by/catalog/product/303-045.html</v>
      </c>
    </row>
    <row r="167" spans="1:14" customFormat="1" ht="41.4">
      <c r="A167" s="35" t="s">
        <v>413</v>
      </c>
      <c r="B167" s="19" t="s">
        <v>414</v>
      </c>
      <c r="C167" s="20" t="s">
        <v>415</v>
      </c>
      <c r="D167" s="36" t="s">
        <v>28</v>
      </c>
      <c r="E167" s="37" t="s">
        <v>3261</v>
      </c>
      <c r="F167" s="43">
        <v>20.939999999999998</v>
      </c>
      <c r="G167" s="100">
        <f t="shared" si="2"/>
        <v>20.94</v>
      </c>
      <c r="H167" s="101"/>
      <c r="I167" s="100">
        <f>G167*H167</f>
        <v>0</v>
      </c>
      <c r="J167" s="39" t="s">
        <v>3336</v>
      </c>
      <c r="K167" s="40" t="s">
        <v>35</v>
      </c>
      <c r="L167" s="41"/>
      <c r="M167" s="42" t="str">
        <f>HYPERLINK("https://catalog.onliner.by/xmaslights/neonnight/nn303049", "https://catalog.onliner.by/xmaslights/neonnight/nn303049")</f>
        <v>https://catalog.onliner.by/xmaslights/neonnight/nn303049</v>
      </c>
      <c r="N167" s="42" t="str">
        <f>HYPERLINK("https://pronto.by/catalog/product/303-049.html", "https://pronto.by/catalog/product/303-049.html")</f>
        <v>https://pronto.by/catalog/product/303-049.html</v>
      </c>
    </row>
    <row r="168" spans="1:14" customFormat="1" ht="41.4">
      <c r="A168" s="35" t="s">
        <v>416</v>
      </c>
      <c r="B168" s="19" t="s">
        <v>417</v>
      </c>
      <c r="C168" s="20" t="s">
        <v>418</v>
      </c>
      <c r="D168" s="36" t="s">
        <v>28</v>
      </c>
      <c r="E168" s="37" t="s">
        <v>3279</v>
      </c>
      <c r="F168" s="43">
        <v>20.939999999999998</v>
      </c>
      <c r="G168" s="100">
        <f t="shared" si="2"/>
        <v>20.94</v>
      </c>
      <c r="H168" s="101"/>
      <c r="I168" s="100">
        <f>G168*H168</f>
        <v>0</v>
      </c>
      <c r="J168" s="39" t="s">
        <v>3336</v>
      </c>
      <c r="K168" s="40" t="s">
        <v>41</v>
      </c>
      <c r="L168" s="41"/>
      <c r="M168" s="42" t="str">
        <f>HYPERLINK("https://catalog.onliner.by/xmaslights/neonnight/303043303043", "https://catalog.onliner.by/xmaslights/neonnight/303043303043")</f>
        <v>https://catalog.onliner.by/xmaslights/neonnight/303043303043</v>
      </c>
      <c r="N168" s="42" t="str">
        <f>HYPERLINK("https://pronto.by/catalog/product/303-043.html", "https://pronto.by/catalog/product/303-043.html")</f>
        <v>https://pronto.by/catalog/product/303-043.html</v>
      </c>
    </row>
    <row r="169" spans="1:14" customFormat="1" ht="41.4">
      <c r="A169" s="35" t="s">
        <v>419</v>
      </c>
      <c r="B169" s="19" t="s">
        <v>420</v>
      </c>
      <c r="C169" s="20" t="s">
        <v>421</v>
      </c>
      <c r="D169" s="36" t="s">
        <v>28</v>
      </c>
      <c r="E169" s="37" t="s">
        <v>3261</v>
      </c>
      <c r="F169" s="43">
        <v>20.939999999999998</v>
      </c>
      <c r="G169" s="100">
        <f t="shared" si="2"/>
        <v>20.94</v>
      </c>
      <c r="H169" s="101"/>
      <c r="I169" s="100">
        <f>G169*H169</f>
        <v>0</v>
      </c>
      <c r="J169" s="39" t="s">
        <v>3336</v>
      </c>
      <c r="K169" s="40" t="s">
        <v>41</v>
      </c>
      <c r="L169" s="41"/>
      <c r="M169" s="42" t="s">
        <v>422</v>
      </c>
      <c r="N169" s="44"/>
    </row>
    <row r="170" spans="1:14" customFormat="1" ht="15.6">
      <c r="A170" s="80" t="s">
        <v>3392</v>
      </c>
      <c r="B170" s="67"/>
      <c r="C170" s="67"/>
      <c r="D170" s="32"/>
      <c r="E170" s="32"/>
      <c r="F170" s="32"/>
      <c r="G170" s="52"/>
      <c r="H170" s="52"/>
      <c r="I170" s="52"/>
      <c r="J170" s="32"/>
      <c r="K170" s="32"/>
      <c r="L170" s="33"/>
      <c r="M170" s="33"/>
      <c r="N170" s="34"/>
    </row>
    <row r="171" spans="1:14" customFormat="1" ht="41.4">
      <c r="A171" s="35" t="s">
        <v>423</v>
      </c>
      <c r="B171" s="19" t="s">
        <v>424</v>
      </c>
      <c r="C171" s="20" t="s">
        <v>425</v>
      </c>
      <c r="D171" s="36" t="s">
        <v>28</v>
      </c>
      <c r="E171" s="37" t="s">
        <v>3279</v>
      </c>
      <c r="F171" s="43">
        <v>25.140000000000004</v>
      </c>
      <c r="G171" s="100">
        <f t="shared" si="2"/>
        <v>25.14</v>
      </c>
      <c r="H171" s="101"/>
      <c r="I171" s="100">
        <f>G171*H171</f>
        <v>0</v>
      </c>
      <c r="J171" s="39" t="s">
        <v>3336</v>
      </c>
      <c r="K171" s="40" t="s">
        <v>41</v>
      </c>
      <c r="L171" s="41"/>
      <c r="M171" s="42" t="str">
        <f>HYPERLINK("https://catalog.onliner.by/xmaslights/neonnight/nn303195", "https://catalog.onliner.by/xmaslights/neonnight/nn303195")</f>
        <v>https://catalog.onliner.by/xmaslights/neonnight/nn303195</v>
      </c>
      <c r="N171" s="42" t="str">
        <f>HYPERLINK("https://pronto.by/catalog/product/303-195.html", "https://pronto.by/catalog/product/303-195.html")</f>
        <v>https://pronto.by/catalog/product/303-195.html</v>
      </c>
    </row>
    <row r="172" spans="1:14" customFormat="1" ht="41.4">
      <c r="A172" s="35" t="s">
        <v>426</v>
      </c>
      <c r="B172" s="19" t="s">
        <v>427</v>
      </c>
      <c r="C172" s="20" t="s">
        <v>428</v>
      </c>
      <c r="D172" s="36" t="s">
        <v>28</v>
      </c>
      <c r="E172" s="37" t="s">
        <v>3261</v>
      </c>
      <c r="F172" s="43">
        <v>25.140000000000004</v>
      </c>
      <c r="G172" s="100">
        <f t="shared" si="2"/>
        <v>25.14</v>
      </c>
      <c r="H172" s="101"/>
      <c r="I172" s="100">
        <f>G172*H172</f>
        <v>0</v>
      </c>
      <c r="J172" s="39" t="s">
        <v>3336</v>
      </c>
      <c r="K172" s="40" t="s">
        <v>41</v>
      </c>
      <c r="L172" s="41"/>
      <c r="M172" s="42" t="s">
        <v>429</v>
      </c>
      <c r="N172" s="44"/>
    </row>
    <row r="173" spans="1:14" customFormat="1" ht="41.4">
      <c r="A173" s="35" t="s">
        <v>430</v>
      </c>
      <c r="B173" s="19" t="s">
        <v>431</v>
      </c>
      <c r="C173" s="20" t="s">
        <v>432</v>
      </c>
      <c r="D173" s="36" t="s">
        <v>28</v>
      </c>
      <c r="E173" s="37" t="s">
        <v>3279</v>
      </c>
      <c r="F173" s="43">
        <v>25.140000000000004</v>
      </c>
      <c r="G173" s="100">
        <f t="shared" si="2"/>
        <v>25.14</v>
      </c>
      <c r="H173" s="101"/>
      <c r="I173" s="100">
        <f>G173*H173</f>
        <v>0</v>
      </c>
      <c r="J173" s="39" t="s">
        <v>3336</v>
      </c>
      <c r="K173" s="40" t="s">
        <v>35</v>
      </c>
      <c r="L173" s="41"/>
      <c r="M173" s="42" t="str">
        <f>HYPERLINK("https://catalog.onliner.by/xmaslights/neonnight/nn303196", "https://catalog.onliner.by/xmaslights/neonnight/nn303196")</f>
        <v>https://catalog.onliner.by/xmaslights/neonnight/nn303196</v>
      </c>
      <c r="N173" s="42" t="str">
        <f>HYPERLINK("https://pronto.by/catalog/product/303-196.html", "https://pronto.by/catalog/product/303-196.html")</f>
        <v>https://pronto.by/catalog/product/303-196.html</v>
      </c>
    </row>
    <row r="174" spans="1:14" customFormat="1" ht="41.4">
      <c r="A174" s="35" t="s">
        <v>433</v>
      </c>
      <c r="B174" s="19" t="s">
        <v>434</v>
      </c>
      <c r="C174" s="20" t="s">
        <v>435</v>
      </c>
      <c r="D174" s="36" t="s">
        <v>28</v>
      </c>
      <c r="E174" s="37" t="s">
        <v>3261</v>
      </c>
      <c r="F174" s="43">
        <v>25.140000000000004</v>
      </c>
      <c r="G174" s="100">
        <f t="shared" si="2"/>
        <v>25.14</v>
      </c>
      <c r="H174" s="101"/>
      <c r="I174" s="100">
        <f>G174*H174</f>
        <v>0</v>
      </c>
      <c r="J174" s="39" t="s">
        <v>3336</v>
      </c>
      <c r="K174" s="40" t="s">
        <v>41</v>
      </c>
      <c r="L174" s="41"/>
      <c r="M174" s="42" t="str">
        <f>HYPERLINK("https://catalog.onliner.by/xmaslights/neonnight/nn303055", "https://catalog.onliner.by/xmaslights/neonnight/nn303055")</f>
        <v>https://catalog.onliner.by/xmaslights/neonnight/nn303055</v>
      </c>
      <c r="N174" s="42" t="str">
        <f>HYPERLINK("https://pronto.by/catalog/product/303-055.html", "https://pronto.by/catalog/product/303-055.html")</f>
        <v>https://pronto.by/catalog/product/303-055.html</v>
      </c>
    </row>
    <row r="175" spans="1:14" customFormat="1" ht="41.4">
      <c r="A175" s="35" t="s">
        <v>436</v>
      </c>
      <c r="B175" s="19" t="s">
        <v>437</v>
      </c>
      <c r="C175" s="20" t="s">
        <v>438</v>
      </c>
      <c r="D175" s="36" t="s">
        <v>28</v>
      </c>
      <c r="E175" s="37" t="s">
        <v>3261</v>
      </c>
      <c r="F175" s="43">
        <v>25.140000000000004</v>
      </c>
      <c r="G175" s="100">
        <f t="shared" si="2"/>
        <v>25.14</v>
      </c>
      <c r="H175" s="101"/>
      <c r="I175" s="100">
        <f>G175*H175</f>
        <v>0</v>
      </c>
      <c r="J175" s="39" t="s">
        <v>3336</v>
      </c>
      <c r="K175" s="40" t="s">
        <v>41</v>
      </c>
      <c r="L175" s="41"/>
      <c r="M175" s="42" t="str">
        <f>HYPERLINK("https://catalog.onliner.by/xmaslights/neonnight/nn303059", "https://catalog.onliner.by/xmaslights/neonnight/nn303059")</f>
        <v>https://catalog.onliner.by/xmaslights/neonnight/nn303059</v>
      </c>
      <c r="N175" s="42" t="str">
        <f>HYPERLINK("https://pronto.by/catalog/product/303-059.html", "https://pronto.by/catalog/product/303-059.html")</f>
        <v>https://pronto.by/catalog/product/303-059.html</v>
      </c>
    </row>
    <row r="176" spans="1:14" customFormat="1" ht="41.4">
      <c r="A176" s="35" t="s">
        <v>439</v>
      </c>
      <c r="B176" s="19" t="s">
        <v>440</v>
      </c>
      <c r="C176" s="20" t="s">
        <v>441</v>
      </c>
      <c r="D176" s="36" t="s">
        <v>28</v>
      </c>
      <c r="E176" s="37" t="s">
        <v>3279</v>
      </c>
      <c r="F176" s="43">
        <v>25.140000000000004</v>
      </c>
      <c r="G176" s="100">
        <f t="shared" si="2"/>
        <v>25.14</v>
      </c>
      <c r="H176" s="101"/>
      <c r="I176" s="100">
        <f>G176*H176</f>
        <v>0</v>
      </c>
      <c r="J176" s="39" t="s">
        <v>3336</v>
      </c>
      <c r="K176" s="40" t="s">
        <v>41</v>
      </c>
      <c r="L176" s="41"/>
      <c r="M176" s="42" t="str">
        <f>HYPERLINK("https://catalog.onliner.by/xmaslights/neonnight/303053303053", "https://catalog.onliner.by/xmaslights/neonnight/303053303053")</f>
        <v>https://catalog.onliner.by/xmaslights/neonnight/303053303053</v>
      </c>
      <c r="N176" s="42" t="str">
        <f>HYPERLINK("https://pronto.by/catalog/product/303-053.html", "https://pronto.by/catalog/product/303-053.html")</f>
        <v>https://pronto.by/catalog/product/303-053.html</v>
      </c>
    </row>
    <row r="177" spans="1:14" customFormat="1" ht="41.4">
      <c r="A177" s="35" t="s">
        <v>442</v>
      </c>
      <c r="B177" s="19" t="s">
        <v>443</v>
      </c>
      <c r="C177" s="20" t="s">
        <v>444</v>
      </c>
      <c r="D177" s="36" t="s">
        <v>28</v>
      </c>
      <c r="E177" s="37" t="s">
        <v>3261</v>
      </c>
      <c r="F177" s="43">
        <v>25.140000000000004</v>
      </c>
      <c r="G177" s="100">
        <f t="shared" si="2"/>
        <v>25.14</v>
      </c>
      <c r="H177" s="101"/>
      <c r="I177" s="100">
        <f>G177*H177</f>
        <v>0</v>
      </c>
      <c r="J177" s="39" t="s">
        <v>3336</v>
      </c>
      <c r="K177" s="40" t="s">
        <v>41</v>
      </c>
      <c r="L177" s="41"/>
      <c r="M177" s="42" t="str">
        <f>HYPERLINK("https://catalog.onliner.by/xmaslights/neonnight/nn303056", "https://catalog.onliner.by/xmaslights/neonnight/nn303056")</f>
        <v>https://catalog.onliner.by/xmaslights/neonnight/nn303056</v>
      </c>
      <c r="N177" s="42" t="str">
        <f>HYPERLINK("https://pronto.by/catalog/product/303-056.html", "https://pronto.by/catalog/product/303-056.html")</f>
        <v>https://pronto.by/catalog/product/303-056.html</v>
      </c>
    </row>
    <row r="178" spans="1:14" customFormat="1" ht="15.6">
      <c r="A178" s="80" t="s">
        <v>3393</v>
      </c>
      <c r="B178" s="67"/>
      <c r="C178" s="67"/>
      <c r="D178" s="32"/>
      <c r="E178" s="32"/>
      <c r="F178" s="32"/>
      <c r="G178" s="52"/>
      <c r="H178" s="52"/>
      <c r="I178" s="52"/>
      <c r="J178" s="32"/>
      <c r="K178" s="32"/>
      <c r="L178" s="33"/>
      <c r="M178" s="33"/>
      <c r="N178" s="34"/>
    </row>
    <row r="179" spans="1:14" customFormat="1" ht="81.599999999999994">
      <c r="A179" s="35" t="s">
        <v>445</v>
      </c>
      <c r="B179" s="19" t="s">
        <v>446</v>
      </c>
      <c r="C179" s="20" t="s">
        <v>447</v>
      </c>
      <c r="D179" s="36" t="s">
        <v>28</v>
      </c>
      <c r="E179" s="37" t="s">
        <v>3284</v>
      </c>
      <c r="F179" s="43">
        <v>33.54</v>
      </c>
      <c r="G179" s="100">
        <f t="shared" si="2"/>
        <v>33.54</v>
      </c>
      <c r="H179" s="101"/>
      <c r="I179" s="100">
        <f>G179*H179</f>
        <v>0</v>
      </c>
      <c r="J179" s="39" t="s">
        <v>3336</v>
      </c>
      <c r="K179" s="40" t="s">
        <v>41</v>
      </c>
      <c r="L179" s="41"/>
      <c r="M179" s="42" t="str">
        <f>HYPERLINK("https://catalog.onliner.by/xmaslights/neonnight/nn303305", "https://catalog.onliner.by/xmaslights/neonnight/nn303305")</f>
        <v>https://catalog.onliner.by/xmaslights/neonnight/nn303305</v>
      </c>
      <c r="N179" s="42" t="str">
        <f>HYPERLINK("https://pronto.by/catalog/prazdnichnaya-svetotehnika/home-konechnye-potrebiteli/girlyanda-universalnaya-tvinkl/tvinkl-20-m/303-305.html", "https://pronto.by/catalog/prazdnichnaya-svetotehnika/home-konechnye-potrebiteli/girlyanda-universalnaya-tvinkl/tvinkl-20-m/303-305.html")</f>
        <v>https://pronto.by/catalog/prazdnichnaya-svetotehnika/home-konechnye-potrebiteli/girlyanda-universalnaya-tvinkl/tvinkl-20-m/303-305.html</v>
      </c>
    </row>
    <row r="180" spans="1:14" customFormat="1" ht="81.599999999999994">
      <c r="A180" s="35" t="s">
        <v>448</v>
      </c>
      <c r="B180" s="19" t="s">
        <v>449</v>
      </c>
      <c r="C180" s="20" t="s">
        <v>450</v>
      </c>
      <c r="D180" s="36" t="s">
        <v>28</v>
      </c>
      <c r="E180" s="37" t="s">
        <v>3284</v>
      </c>
      <c r="F180" s="43">
        <v>33.54</v>
      </c>
      <c r="G180" s="100">
        <f t="shared" si="2"/>
        <v>33.54</v>
      </c>
      <c r="H180" s="101"/>
      <c r="I180" s="100">
        <f>G180*H180</f>
        <v>0</v>
      </c>
      <c r="J180" s="39" t="s">
        <v>3336</v>
      </c>
      <c r="K180" s="40" t="s">
        <v>41</v>
      </c>
      <c r="L180" s="41"/>
      <c r="M180" s="42" t="str">
        <f>HYPERLINK("https://catalog.onliner.by/xmaslights/neonnight/nn303309", "https://catalog.onliner.by/xmaslights/neonnight/nn303309")</f>
        <v>https://catalog.onliner.by/xmaslights/neonnight/nn303309</v>
      </c>
      <c r="N180" s="42" t="str">
        <f>HYPERLINK("https://pronto.by/catalog/prazdnichnaya-svetotehnika/home-konechnye-potrebiteli/girlyanda-universalnaya-tvinkl/tvinkl-20-m/303-309.html", "https://pronto.by/catalog/prazdnichnaya-svetotehnika/home-konechnye-potrebiteli/girlyanda-universalnaya-tvinkl/tvinkl-20-m/303-309.html")</f>
        <v>https://pronto.by/catalog/prazdnichnaya-svetotehnika/home-konechnye-potrebiteli/girlyanda-universalnaya-tvinkl/tvinkl-20-m/303-309.html</v>
      </c>
    </row>
    <row r="181" spans="1:14" customFormat="1" ht="81.599999999999994">
      <c r="A181" s="35" t="s">
        <v>451</v>
      </c>
      <c r="B181" s="19" t="s">
        <v>452</v>
      </c>
      <c r="C181" s="20" t="s">
        <v>453</v>
      </c>
      <c r="D181" s="36" t="s">
        <v>28</v>
      </c>
      <c r="E181" s="37" t="s">
        <v>3284</v>
      </c>
      <c r="F181" s="43">
        <v>33.54</v>
      </c>
      <c r="G181" s="100">
        <f t="shared" si="2"/>
        <v>33.54</v>
      </c>
      <c r="H181" s="101"/>
      <c r="I181" s="100">
        <f>G181*H181</f>
        <v>0</v>
      </c>
      <c r="J181" s="39" t="s">
        <v>3336</v>
      </c>
      <c r="K181" s="40" t="s">
        <v>41</v>
      </c>
      <c r="L181" s="41"/>
      <c r="M181" s="42" t="str">
        <f>HYPERLINK("https://catalog.onliner.by/xmaslights/neonnight/nn303306", "https://catalog.onliner.by/xmaslights/neonnight/nn303306")</f>
        <v>https://catalog.onliner.by/xmaslights/neonnight/nn303306</v>
      </c>
      <c r="N181" s="42" t="str">
        <f>HYPERLINK("https://pronto.by/catalog/prazdnichnaya-svetotehnika/home-konechnye-potrebiteli/girlyanda-universalnaya-tvinkl/tvinkl-20-m/303-306.html", "https://pronto.by/catalog/prazdnichnaya-svetotehnika/home-konechnye-potrebiteli/girlyanda-universalnaya-tvinkl/tvinkl-20-m/303-306.html")</f>
        <v>https://pronto.by/catalog/prazdnichnaya-svetotehnika/home-konechnye-potrebiteli/girlyanda-universalnaya-tvinkl/tvinkl-20-m/303-306.html</v>
      </c>
    </row>
    <row r="182" spans="1:14" customFormat="1" ht="41.4">
      <c r="A182" s="35" t="s">
        <v>454</v>
      </c>
      <c r="B182" s="19" t="s">
        <v>455</v>
      </c>
      <c r="C182" s="20" t="s">
        <v>456</v>
      </c>
      <c r="D182" s="36" t="s">
        <v>28</v>
      </c>
      <c r="E182" s="37" t="s">
        <v>3279</v>
      </c>
      <c r="F182" s="43">
        <v>33.54</v>
      </c>
      <c r="G182" s="100">
        <f t="shared" si="2"/>
        <v>33.54</v>
      </c>
      <c r="H182" s="101"/>
      <c r="I182" s="100">
        <f>G182*H182</f>
        <v>0</v>
      </c>
      <c r="J182" s="39" t="s">
        <v>3336</v>
      </c>
      <c r="K182" s="40" t="s">
        <v>35</v>
      </c>
      <c r="L182" s="41"/>
      <c r="M182" s="42" t="str">
        <f>HYPERLINK("https://catalog.onliner.by/xmaslights/neonnight/nn303115", "https://catalog.onliner.by/xmaslights/neonnight/nn303115")</f>
        <v>https://catalog.onliner.by/xmaslights/neonnight/nn303115</v>
      </c>
      <c r="N182" s="42" t="str">
        <f>HYPERLINK("https://pronto.by/catalog/product/303-115.html", "https://pronto.by/catalog/product/303-115.html")</f>
        <v>https://pronto.by/catalog/product/303-115.html</v>
      </c>
    </row>
    <row r="183" spans="1:14" customFormat="1" ht="41.4">
      <c r="A183" s="35" t="s">
        <v>457</v>
      </c>
      <c r="B183" s="19" t="s">
        <v>458</v>
      </c>
      <c r="C183" s="20" t="s">
        <v>459</v>
      </c>
      <c r="D183" s="36" t="s">
        <v>28</v>
      </c>
      <c r="E183" s="37" t="s">
        <v>3284</v>
      </c>
      <c r="F183" s="43">
        <v>33.54</v>
      </c>
      <c r="G183" s="100">
        <f t="shared" si="2"/>
        <v>33.54</v>
      </c>
      <c r="H183" s="101"/>
      <c r="I183" s="100">
        <f>G183*H183</f>
        <v>0</v>
      </c>
      <c r="J183" s="39" t="s">
        <v>3336</v>
      </c>
      <c r="K183" s="40" t="s">
        <v>41</v>
      </c>
      <c r="L183" s="41"/>
      <c r="M183" s="42" t="str">
        <f>HYPERLINK("https://catalog.onliner.by/xmaslights/neonnight/nn303119", "https://catalog.onliner.by/xmaslights/neonnight/nn303119")</f>
        <v>https://catalog.onliner.by/xmaslights/neonnight/nn303119</v>
      </c>
      <c r="N183" s="42" t="str">
        <f>HYPERLINK("https://pronto.by/catalog/product/303-119.html", "https://pronto.by/catalog/product/303-119.html")</f>
        <v>https://pronto.by/catalog/product/303-119.html</v>
      </c>
    </row>
    <row r="184" spans="1:14" customFormat="1" ht="41.4">
      <c r="A184" s="35" t="s">
        <v>460</v>
      </c>
      <c r="B184" s="19" t="s">
        <v>461</v>
      </c>
      <c r="C184" s="20" t="s">
        <v>462</v>
      </c>
      <c r="D184" s="36" t="s">
        <v>28</v>
      </c>
      <c r="E184" s="37" t="s">
        <v>3279</v>
      </c>
      <c r="F184" s="43">
        <v>33.54</v>
      </c>
      <c r="G184" s="100">
        <f t="shared" si="2"/>
        <v>33.54</v>
      </c>
      <c r="H184" s="101"/>
      <c r="I184" s="100">
        <f>G184*H184</f>
        <v>0</v>
      </c>
      <c r="J184" s="39" t="s">
        <v>3336</v>
      </c>
      <c r="K184" s="40" t="s">
        <v>35</v>
      </c>
      <c r="L184" s="41"/>
      <c r="M184" s="42" t="str">
        <f>HYPERLINK("https://catalog.onliner.by/xmaslights/neonnight/nn303116", "https://catalog.onliner.by/xmaslights/neonnight/nn303116")</f>
        <v>https://catalog.onliner.by/xmaslights/neonnight/nn303116</v>
      </c>
      <c r="N184" s="42" t="str">
        <f>HYPERLINK("https://pronto.by/catalog/product/303-116.html", "https://pronto.by/catalog/product/303-116.html")</f>
        <v>https://pronto.by/catalog/product/303-116.html</v>
      </c>
    </row>
    <row r="185" spans="1:14" customFormat="1" ht="15.6">
      <c r="A185" s="80" t="s">
        <v>3394</v>
      </c>
      <c r="B185" s="67"/>
      <c r="C185" s="67"/>
      <c r="D185" s="32"/>
      <c r="E185" s="32"/>
      <c r="F185" s="32"/>
      <c r="G185" s="52"/>
      <c r="H185" s="52"/>
      <c r="I185" s="52"/>
      <c r="J185" s="32"/>
      <c r="K185" s="32"/>
      <c r="L185" s="33"/>
      <c r="M185" s="33"/>
      <c r="N185" s="34"/>
    </row>
    <row r="186" spans="1:14" customFormat="1" ht="69">
      <c r="A186" s="35" t="s">
        <v>463</v>
      </c>
      <c r="B186" s="19" t="s">
        <v>464</v>
      </c>
      <c r="C186" s="20" t="s">
        <v>3395</v>
      </c>
      <c r="D186" s="36" t="s">
        <v>28</v>
      </c>
      <c r="E186" s="37" t="s">
        <v>3280</v>
      </c>
      <c r="F186" s="43">
        <v>54.180000000000007</v>
      </c>
      <c r="G186" s="100">
        <f t="shared" si="2"/>
        <v>54.18</v>
      </c>
      <c r="H186" s="101"/>
      <c r="I186" s="100">
        <f>G186*H186</f>
        <v>0</v>
      </c>
      <c r="J186" s="39" t="s">
        <v>3336</v>
      </c>
      <c r="K186" s="40" t="s">
        <v>35</v>
      </c>
      <c r="L186" s="41"/>
      <c r="M186" s="42" t="str">
        <f>HYPERLINK("https://catalog.onliner.by/xmaslights/neonnight/neon315896", "https://catalog.onliner.by/xmaslights/neonnight/neon315896")</f>
        <v>https://catalog.onliner.by/xmaslights/neonnight/neon315896</v>
      </c>
      <c r="N186" s="42" t="str">
        <f>HYPERLINK("https://pronto.by/catalog/prazdnichnaya-svetotehnika/home-konechnye-potrebiteli/girlyanda-elochnaya/315-896.html", "https://pronto.by/catalog/prazdnichnaya-svetotehnika/home-konechnye-potrebiteli/girlyanda-elochnaya/315-896.html")</f>
        <v>https://pronto.by/catalog/prazdnichnaya-svetotehnika/home-konechnye-potrebiteli/girlyanda-elochnaya/315-896.html</v>
      </c>
    </row>
    <row r="187" spans="1:14" customFormat="1" ht="41.4">
      <c r="A187" s="35" t="s">
        <v>465</v>
      </c>
      <c r="B187" s="19" t="s">
        <v>466</v>
      </c>
      <c r="C187" s="20" t="s">
        <v>467</v>
      </c>
      <c r="D187" s="36" t="s">
        <v>28</v>
      </c>
      <c r="E187" s="37" t="s">
        <v>3279</v>
      </c>
      <c r="F187" s="43">
        <v>50.580000000000005</v>
      </c>
      <c r="G187" s="100">
        <f t="shared" si="2"/>
        <v>50.58</v>
      </c>
      <c r="H187" s="101"/>
      <c r="I187" s="100">
        <f>G187*H187</f>
        <v>0</v>
      </c>
      <c r="J187" s="39" t="s">
        <v>3336</v>
      </c>
      <c r="K187" s="40" t="s">
        <v>35</v>
      </c>
      <c r="L187" s="41"/>
      <c r="M187" s="42" t="str">
        <f>HYPERLINK("https://catalog.onliner.by/xmaslights/neonnight/nn235085", "https://catalog.onliner.by/xmaslights/neonnight/nn235085")</f>
        <v>https://catalog.onliner.by/xmaslights/neonnight/nn235085</v>
      </c>
      <c r="N187" s="42" t="str">
        <f>HYPERLINK("https://pronto.by/catalog/product/235-085.html", "https://pronto.by/catalog/product/235-085.html")</f>
        <v>https://pronto.by/catalog/product/235-085.html</v>
      </c>
    </row>
    <row r="188" spans="1:14" customFormat="1" ht="41.4">
      <c r="A188" s="35" t="s">
        <v>468</v>
      </c>
      <c r="B188" s="19" t="s">
        <v>469</v>
      </c>
      <c r="C188" s="20" t="s">
        <v>470</v>
      </c>
      <c r="D188" s="36" t="s">
        <v>28</v>
      </c>
      <c r="E188" s="37" t="s">
        <v>3279</v>
      </c>
      <c r="F188" s="43">
        <v>50.580000000000005</v>
      </c>
      <c r="G188" s="100">
        <f t="shared" si="2"/>
        <v>50.58</v>
      </c>
      <c r="H188" s="101"/>
      <c r="I188" s="100">
        <f>G188*H188</f>
        <v>0</v>
      </c>
      <c r="J188" s="39" t="s">
        <v>3336</v>
      </c>
      <c r="K188" s="40" t="s">
        <v>35</v>
      </c>
      <c r="L188" s="41"/>
      <c r="M188" s="42" t="str">
        <f>HYPERLINK("https://catalog.onliner.by/xmaslights/neonnight/nn235089", "https://catalog.onliner.by/xmaslights/neonnight/nn235089")</f>
        <v>https://catalog.onliner.by/xmaslights/neonnight/nn235089</v>
      </c>
      <c r="N188" s="42" t="str">
        <f>HYPERLINK("https://pronto.by/catalog/product/235-089.html", "https://pronto.by/catalog/product/235-089.html")</f>
        <v>https://pronto.by/catalog/product/235-089.html</v>
      </c>
    </row>
    <row r="189" spans="1:14" customFormat="1" ht="41.4">
      <c r="A189" s="35" t="s">
        <v>471</v>
      </c>
      <c r="B189" s="19" t="s">
        <v>472</v>
      </c>
      <c r="C189" s="20" t="s">
        <v>473</v>
      </c>
      <c r="D189" s="36" t="s">
        <v>28</v>
      </c>
      <c r="E189" s="37" t="s">
        <v>3279</v>
      </c>
      <c r="F189" s="43">
        <v>50.580000000000005</v>
      </c>
      <c r="G189" s="100">
        <f t="shared" si="2"/>
        <v>50.58</v>
      </c>
      <c r="H189" s="101"/>
      <c r="I189" s="100">
        <f>G189*H189</f>
        <v>0</v>
      </c>
      <c r="J189" s="39" t="s">
        <v>3336</v>
      </c>
      <c r="K189" s="40" t="s">
        <v>41</v>
      </c>
      <c r="L189" s="41"/>
      <c r="M189" s="42" t="str">
        <f>HYPERLINK("https://catalog.onliner.by/xmaslights/neonnight/nn235086", "https://catalog.onliner.by/xmaslights/neonnight/nn235086")</f>
        <v>https://catalog.onliner.by/xmaslights/neonnight/nn235086</v>
      </c>
      <c r="N189" s="42" t="str">
        <f>HYPERLINK("https://pronto.by/catalog/product/235-086.html", "https://pronto.by/catalog/product/235-086.html")</f>
        <v>https://pronto.by/catalog/product/235-086.html</v>
      </c>
    </row>
    <row r="190" spans="1:14" customFormat="1" ht="15.6">
      <c r="A190" s="80" t="s">
        <v>3396</v>
      </c>
      <c r="B190" s="67"/>
      <c r="C190" s="67"/>
      <c r="D190" s="32"/>
      <c r="E190" s="32"/>
      <c r="F190" s="32"/>
      <c r="G190" s="52"/>
      <c r="H190" s="52"/>
      <c r="I190" s="52"/>
      <c r="J190" s="32"/>
      <c r="K190" s="32"/>
      <c r="L190" s="33"/>
      <c r="M190" s="33"/>
      <c r="N190" s="34"/>
    </row>
    <row r="191" spans="1:14" customFormat="1" ht="41.4">
      <c r="A191" s="35" t="s">
        <v>474</v>
      </c>
      <c r="B191" s="19" t="s">
        <v>475</v>
      </c>
      <c r="C191" s="20" t="s">
        <v>476</v>
      </c>
      <c r="D191" s="36" t="s">
        <v>28</v>
      </c>
      <c r="E191" s="37" t="s">
        <v>3283</v>
      </c>
      <c r="F191" s="43">
        <v>58.86</v>
      </c>
      <c r="G191" s="100">
        <f t="shared" si="2"/>
        <v>58.86</v>
      </c>
      <c r="H191" s="101"/>
      <c r="I191" s="100">
        <f>G191*H191</f>
        <v>0</v>
      </c>
      <c r="J191" s="39" t="s">
        <v>3336</v>
      </c>
      <c r="K191" s="40" t="s">
        <v>41</v>
      </c>
      <c r="L191" s="41"/>
      <c r="M191" s="42" t="str">
        <f>HYPERLINK("https://catalog.onliner.by/xmaslights/neonnight/nn303604", "https://catalog.onliner.by/xmaslights/neonnight/nn303604")</f>
        <v>https://catalog.onliner.by/xmaslights/neonnight/nn303604</v>
      </c>
      <c r="N191" s="42" t="str">
        <f>HYPERLINK("https://pronto.by/catalog/product/303-604.html", "https://pronto.by/catalog/product/303-604.html")</f>
        <v>https://pronto.by/catalog/product/303-604.html</v>
      </c>
    </row>
    <row r="192" spans="1:14" customFormat="1" ht="41.4">
      <c r="A192" s="35" t="s">
        <v>477</v>
      </c>
      <c r="B192" s="19" t="s">
        <v>478</v>
      </c>
      <c r="C192" s="20" t="s">
        <v>479</v>
      </c>
      <c r="D192" s="36" t="s">
        <v>28</v>
      </c>
      <c r="E192" s="37" t="s">
        <v>3283</v>
      </c>
      <c r="F192" s="43">
        <v>58.86</v>
      </c>
      <c r="G192" s="100">
        <f t="shared" si="2"/>
        <v>58.86</v>
      </c>
      <c r="H192" s="101"/>
      <c r="I192" s="100">
        <f>G192*H192</f>
        <v>0</v>
      </c>
      <c r="J192" s="39" t="s">
        <v>3336</v>
      </c>
      <c r="K192" s="40" t="s">
        <v>41</v>
      </c>
      <c r="L192" s="41"/>
      <c r="M192" s="42" t="str">
        <f>HYPERLINK("https://catalog.onliner.by/xmaslights/neonnight/nn303602", "https://catalog.onliner.by/xmaslights/neonnight/nn303602")</f>
        <v>https://catalog.onliner.by/xmaslights/neonnight/nn303602</v>
      </c>
      <c r="N192" s="42" t="str">
        <f>HYPERLINK("https://pronto.by/catalog/product/303-602.html", "https://pronto.by/catalog/product/303-602.html")</f>
        <v>https://pronto.by/catalog/product/303-602.html</v>
      </c>
    </row>
    <row r="193" spans="1:14" customFormat="1" ht="41.4">
      <c r="A193" s="35" t="s">
        <v>480</v>
      </c>
      <c r="B193" s="19" t="s">
        <v>481</v>
      </c>
      <c r="C193" s="20" t="s">
        <v>482</v>
      </c>
      <c r="D193" s="36" t="s">
        <v>28</v>
      </c>
      <c r="E193" s="37" t="s">
        <v>3283</v>
      </c>
      <c r="F193" s="43">
        <v>64.98</v>
      </c>
      <c r="G193" s="100">
        <f t="shared" si="2"/>
        <v>64.98</v>
      </c>
      <c r="H193" s="101"/>
      <c r="I193" s="100">
        <f>G193*H193</f>
        <v>0</v>
      </c>
      <c r="J193" s="39" t="s">
        <v>3336</v>
      </c>
      <c r="K193" s="40" t="s">
        <v>41</v>
      </c>
      <c r="L193" s="41"/>
      <c r="M193" s="42" t="str">
        <f>HYPERLINK("https://catalog.onliner.by/xmaslights/neonnight/nn303603", "https://catalog.onliner.by/xmaslights/neonnight/nn303603")</f>
        <v>https://catalog.onliner.by/xmaslights/neonnight/nn303603</v>
      </c>
      <c r="N193" s="42" t="str">
        <f>HYPERLINK("https://pronto.by/catalog/product/303-603.html", "https://pronto.by/catalog/product/303-603.html")</f>
        <v>https://pronto.by/catalog/product/303-603.html</v>
      </c>
    </row>
    <row r="194" spans="1:14" customFormat="1" ht="41.4">
      <c r="A194" s="35" t="s">
        <v>483</v>
      </c>
      <c r="B194" s="19" t="s">
        <v>484</v>
      </c>
      <c r="C194" s="20" t="s">
        <v>485</v>
      </c>
      <c r="D194" s="36" t="s">
        <v>28</v>
      </c>
      <c r="E194" s="37" t="s">
        <v>3277</v>
      </c>
      <c r="F194" s="43">
        <v>64.98</v>
      </c>
      <c r="G194" s="100">
        <f t="shared" si="2"/>
        <v>64.98</v>
      </c>
      <c r="H194" s="101"/>
      <c r="I194" s="100">
        <f>G194*H194</f>
        <v>0</v>
      </c>
      <c r="J194" s="39" t="s">
        <v>3336</v>
      </c>
      <c r="K194" s="40" t="s">
        <v>41</v>
      </c>
      <c r="L194" s="41"/>
      <c r="M194" s="42" t="str">
        <f>HYPERLINK("https://catalog.onliner.by/xmaslights/neonnight/303606303606", "https://catalog.onliner.by/xmaslights/neonnight/303606303606")</f>
        <v>https://catalog.onliner.by/xmaslights/neonnight/303606303606</v>
      </c>
      <c r="N194" s="42" t="str">
        <f>HYPERLINK("https://pronto.by/catalog/product/303-606.html", "https://pronto.by/catalog/product/303-606.html")</f>
        <v>https://pronto.by/catalog/product/303-606.html</v>
      </c>
    </row>
    <row r="195" spans="1:14" customFormat="1" ht="55.2">
      <c r="A195" s="35" t="s">
        <v>3397</v>
      </c>
      <c r="B195" s="19" t="s">
        <v>3398</v>
      </c>
      <c r="C195" s="20" t="s">
        <v>3399</v>
      </c>
      <c r="D195" s="36" t="s">
        <v>28</v>
      </c>
      <c r="E195" s="37" t="s">
        <v>3277</v>
      </c>
      <c r="F195" s="43">
        <v>73.739999999999995</v>
      </c>
      <c r="G195" s="100">
        <f t="shared" si="2"/>
        <v>73.739999999999995</v>
      </c>
      <c r="H195" s="101"/>
      <c r="I195" s="100">
        <f>G195*H195</f>
        <v>0</v>
      </c>
      <c r="J195" s="39" t="s">
        <v>3336</v>
      </c>
      <c r="K195" s="40" t="s">
        <v>41</v>
      </c>
      <c r="L195" s="41"/>
      <c r="M195" s="42" t="str">
        <f>HYPERLINK("https://catalog.onliner.by/xmaslights/neonnight/nn303608", "https://catalog.onliner.by/xmaslights/neonnight/nn303608")</f>
        <v>https://catalog.onliner.by/xmaslights/neonnight/nn303608</v>
      </c>
      <c r="N195" s="42" t="str">
        <f>HYPERLINK("https://pronto.by/catalog/product/303-608.html", "https://pronto.by/catalog/product/303-608.html")</f>
        <v>https://pronto.by/catalog/product/303-608.html</v>
      </c>
    </row>
    <row r="196" spans="1:14" customFormat="1" ht="15.6">
      <c r="A196" s="80" t="s">
        <v>3400</v>
      </c>
      <c r="B196" s="67"/>
      <c r="C196" s="67"/>
      <c r="D196" s="32"/>
      <c r="E196" s="32"/>
      <c r="F196" s="32"/>
      <c r="G196" s="52"/>
      <c r="H196" s="52"/>
      <c r="I196" s="52"/>
      <c r="J196" s="32"/>
      <c r="K196" s="32"/>
      <c r="L196" s="33"/>
      <c r="M196" s="33"/>
      <c r="N196" s="34"/>
    </row>
    <row r="197" spans="1:14" customFormat="1" ht="41.4">
      <c r="A197" s="35" t="s">
        <v>486</v>
      </c>
      <c r="B197" s="19" t="s">
        <v>487</v>
      </c>
      <c r="C197" s="20" t="s">
        <v>488</v>
      </c>
      <c r="D197" s="36" t="s">
        <v>28</v>
      </c>
      <c r="E197" s="37" t="s">
        <v>3277</v>
      </c>
      <c r="F197" s="43">
        <v>64.98</v>
      </c>
      <c r="G197" s="100">
        <f t="shared" si="2"/>
        <v>64.98</v>
      </c>
      <c r="H197" s="101"/>
      <c r="I197" s="100">
        <f>G197*H197</f>
        <v>0</v>
      </c>
      <c r="J197" s="39" t="s">
        <v>3336</v>
      </c>
      <c r="K197" s="40" t="s">
        <v>35</v>
      </c>
      <c r="L197" s="41"/>
      <c r="M197" s="42" t="str">
        <f>HYPERLINK("https://catalog.onliner.by/xmaslights/neonnight/nn303626", "https://catalog.onliner.by/xmaslights/neonnight/nn303626")</f>
        <v>https://catalog.onliner.by/xmaslights/neonnight/nn303626</v>
      </c>
      <c r="N197" s="42" t="str">
        <f>HYPERLINK("https://pronto.by/catalog/product/303-626.html", "https://pronto.by/catalog/product/303-626.html")</f>
        <v>https://pronto.by/catalog/product/303-626.html</v>
      </c>
    </row>
    <row r="198" spans="1:14" customFormat="1" ht="41.4">
      <c r="A198" s="35" t="s">
        <v>489</v>
      </c>
      <c r="B198" s="19" t="s">
        <v>490</v>
      </c>
      <c r="C198" s="20" t="s">
        <v>491</v>
      </c>
      <c r="D198" s="36" t="s">
        <v>28</v>
      </c>
      <c r="E198" s="37" t="s">
        <v>3277</v>
      </c>
      <c r="F198" s="43">
        <v>64.98</v>
      </c>
      <c r="G198" s="100">
        <f t="shared" si="2"/>
        <v>64.98</v>
      </c>
      <c r="H198" s="101"/>
      <c r="I198" s="100">
        <f>G198*H198</f>
        <v>0</v>
      </c>
      <c r="J198" s="39" t="s">
        <v>3336</v>
      </c>
      <c r="K198" s="40" t="s">
        <v>41</v>
      </c>
      <c r="L198" s="41"/>
      <c r="M198" s="42" t="str">
        <f>HYPERLINK("https://catalog.onliner.by/xmaslights/neonnight/nn303629", "https://catalog.onliner.by/xmaslights/neonnight/nn303629")</f>
        <v>https://catalog.onliner.by/xmaslights/neonnight/nn303629</v>
      </c>
      <c r="N198" s="42" t="str">
        <f>HYPERLINK("https://pronto.by/catalog/product/303-629.html", "https://pronto.by/catalog/product/303-629.html")</f>
        <v>https://pronto.by/catalog/product/303-629.html</v>
      </c>
    </row>
    <row r="199" spans="1:14" customFormat="1" ht="15.6">
      <c r="A199" s="80" t="s">
        <v>3401</v>
      </c>
      <c r="B199" s="67"/>
      <c r="C199" s="67"/>
      <c r="D199" s="32"/>
      <c r="E199" s="32"/>
      <c r="F199" s="32"/>
      <c r="G199" s="52"/>
      <c r="H199" s="52"/>
      <c r="I199" s="52"/>
      <c r="J199" s="32"/>
      <c r="K199" s="32"/>
      <c r="L199" s="33"/>
      <c r="M199" s="33"/>
      <c r="N199" s="34"/>
    </row>
    <row r="200" spans="1:14" customFormat="1" ht="41.4">
      <c r="A200" s="35" t="s">
        <v>492</v>
      </c>
      <c r="B200" s="19" t="s">
        <v>493</v>
      </c>
      <c r="C200" s="20" t="s">
        <v>494</v>
      </c>
      <c r="D200" s="36" t="s">
        <v>28</v>
      </c>
      <c r="E200" s="37" t="s">
        <v>3284</v>
      </c>
      <c r="F200" s="43">
        <v>33.54</v>
      </c>
      <c r="G200" s="100">
        <f t="shared" si="2"/>
        <v>33.54</v>
      </c>
      <c r="H200" s="101"/>
      <c r="I200" s="100">
        <f>G200*H200</f>
        <v>0</v>
      </c>
      <c r="J200" s="39" t="s">
        <v>3336</v>
      </c>
      <c r="K200" s="40" t="s">
        <v>35</v>
      </c>
      <c r="L200" s="41"/>
      <c r="M200" s="42" t="str">
        <f>HYPERLINK("https://catalog.onliner.by/xmaslights/neonnight/nn303539", "https://catalog.onliner.by/xmaslights/neonnight/nn303539")</f>
        <v>https://catalog.onliner.by/xmaslights/neonnight/nn303539</v>
      </c>
      <c r="N200" s="42" t="str">
        <f>HYPERLINK("https://pronto.by/catalog/product/303-539.html", "https://pronto.by/catalog/product/303-539.html")</f>
        <v>https://pronto.by/catalog/product/303-539.html</v>
      </c>
    </row>
    <row r="201" spans="1:14" customFormat="1" ht="41.4">
      <c r="A201" s="35" t="s">
        <v>495</v>
      </c>
      <c r="B201" s="19" t="s">
        <v>496</v>
      </c>
      <c r="C201" s="20" t="s">
        <v>497</v>
      </c>
      <c r="D201" s="36" t="s">
        <v>28</v>
      </c>
      <c r="E201" s="37" t="s">
        <v>3277</v>
      </c>
      <c r="F201" s="43">
        <v>33.54</v>
      </c>
      <c r="G201" s="100">
        <f t="shared" si="2"/>
        <v>33.54</v>
      </c>
      <c r="H201" s="101"/>
      <c r="I201" s="100">
        <f>G201*H201</f>
        <v>0</v>
      </c>
      <c r="J201" s="39" t="s">
        <v>3336</v>
      </c>
      <c r="K201" s="40" t="s">
        <v>41</v>
      </c>
      <c r="L201" s="41"/>
      <c r="M201" s="42" t="s">
        <v>498</v>
      </c>
      <c r="N201" s="44"/>
    </row>
    <row r="202" spans="1:14" customFormat="1" ht="15.6">
      <c r="A202" s="80" t="s">
        <v>3402</v>
      </c>
      <c r="B202" s="67"/>
      <c r="C202" s="67"/>
      <c r="D202" s="32"/>
      <c r="E202" s="32"/>
      <c r="F202" s="32"/>
      <c r="G202" s="52"/>
      <c r="H202" s="52"/>
      <c r="I202" s="52"/>
      <c r="J202" s="32"/>
      <c r="K202" s="32"/>
      <c r="L202" s="33"/>
      <c r="M202" s="33"/>
      <c r="N202" s="34"/>
    </row>
    <row r="203" spans="1:14" customFormat="1" ht="41.4">
      <c r="A203" s="45" t="s">
        <v>499</v>
      </c>
      <c r="B203" s="46" t="s">
        <v>500</v>
      </c>
      <c r="C203" s="54" t="s">
        <v>501</v>
      </c>
      <c r="D203" s="47" t="s">
        <v>28</v>
      </c>
      <c r="E203" s="48" t="s">
        <v>3280</v>
      </c>
      <c r="F203" s="43">
        <v>86.820000000000007</v>
      </c>
      <c r="G203" s="100">
        <f t="shared" si="2"/>
        <v>86.82</v>
      </c>
      <c r="H203" s="101"/>
      <c r="I203" s="100">
        <f>G203*H203</f>
        <v>0</v>
      </c>
      <c r="J203" s="39" t="s">
        <v>3336</v>
      </c>
      <c r="K203" s="40" t="s">
        <v>35</v>
      </c>
      <c r="L203" s="41"/>
      <c r="M203" s="44"/>
      <c r="N203" s="44"/>
    </row>
    <row r="204" spans="1:14" customFormat="1" ht="71.400000000000006">
      <c r="A204" s="35" t="s">
        <v>502</v>
      </c>
      <c r="B204" s="19" t="s">
        <v>503</v>
      </c>
      <c r="C204" s="20" t="s">
        <v>3403</v>
      </c>
      <c r="D204" s="36" t="s">
        <v>28</v>
      </c>
      <c r="E204" s="37" t="s">
        <v>3280</v>
      </c>
      <c r="F204" s="43">
        <v>42.48</v>
      </c>
      <c r="G204" s="100">
        <f t="shared" si="2"/>
        <v>42.48</v>
      </c>
      <c r="H204" s="101"/>
      <c r="I204" s="100">
        <f>G204*H204</f>
        <v>0</v>
      </c>
      <c r="J204" s="39" t="s">
        <v>3336</v>
      </c>
      <c r="K204" s="40" t="s">
        <v>35</v>
      </c>
      <c r="L204" s="41"/>
      <c r="M204" s="42" t="str">
        <f>HYPERLINK("https://catalog.onliner.by/xmaslights/neonnight/neon245019", "https://catalog.onliner.by/xmaslights/neonnight/neon245019")</f>
        <v>https://catalog.onliner.by/xmaslights/neonnight/neon245019</v>
      </c>
      <c r="N204" s="42" t="str">
        <f>HYPERLINK("https://pronto.by/catalog/prazdnichnaya-svetotehnika/home-konechnye-potrebiteli/girlyandy-upravlyaemye/245-019.html", "https://pronto.by/catalog/prazdnichnaya-svetotehnika/home-konechnye-potrebiteli/girlyandy-upravlyaemye/245-019.html")</f>
        <v>https://pronto.by/catalog/prazdnichnaya-svetotehnika/home-konechnye-potrebiteli/girlyandy-upravlyaemye/245-019.html</v>
      </c>
    </row>
    <row r="205" spans="1:14" customFormat="1" ht="15.6">
      <c r="A205" s="80" t="s">
        <v>3404</v>
      </c>
      <c r="B205" s="67"/>
      <c r="C205" s="67"/>
      <c r="D205" s="32"/>
      <c r="E205" s="32"/>
      <c r="F205" s="32"/>
      <c r="G205" s="52"/>
      <c r="H205" s="52"/>
      <c r="I205" s="52"/>
      <c r="J205" s="32"/>
      <c r="K205" s="32"/>
      <c r="L205" s="33"/>
      <c r="M205" s="33"/>
      <c r="N205" s="34"/>
    </row>
    <row r="206" spans="1:14" customFormat="1" ht="15.6">
      <c r="A206" s="80" t="s">
        <v>3405</v>
      </c>
      <c r="B206" s="67"/>
      <c r="C206" s="67"/>
      <c r="D206" s="32"/>
      <c r="E206" s="32"/>
      <c r="F206" s="32"/>
      <c r="G206" s="52"/>
      <c r="H206" s="52"/>
      <c r="I206" s="52"/>
      <c r="J206" s="32"/>
      <c r="K206" s="32"/>
      <c r="L206" s="33"/>
      <c r="M206" s="33"/>
      <c r="N206" s="34"/>
    </row>
    <row r="207" spans="1:14" customFormat="1" ht="41.4">
      <c r="A207" s="35" t="s">
        <v>504</v>
      </c>
      <c r="B207" s="19" t="s">
        <v>505</v>
      </c>
      <c r="C207" s="20" t="s">
        <v>506</v>
      </c>
      <c r="D207" s="36" t="s">
        <v>28</v>
      </c>
      <c r="E207" s="37" t="s">
        <v>3292</v>
      </c>
      <c r="F207" s="43">
        <v>73.739999999999995</v>
      </c>
      <c r="G207" s="100">
        <f t="shared" ref="G207:G270" si="3">ROUND(F207-F207*G$3,2)</f>
        <v>73.739999999999995</v>
      </c>
      <c r="H207" s="101"/>
      <c r="I207" s="100">
        <f>G207*H207</f>
        <v>0</v>
      </c>
      <c r="J207" s="39" t="s">
        <v>3336</v>
      </c>
      <c r="K207" s="40" t="s">
        <v>41</v>
      </c>
      <c r="L207" s="41"/>
      <c r="M207" s="42" t="str">
        <f>HYPERLINK("https://catalog.onliner.by/christmasdecor/neonnight/nn501174", "https://catalog.onliner.by/christmasdecor/neonnight/nn501174")</f>
        <v>https://catalog.onliner.by/christmasdecor/neonnight/nn501174</v>
      </c>
      <c r="N207" s="42" t="str">
        <f>HYPERLINK("https://pronto.by/catalog/product/501-174.html", "https://pronto.by/catalog/product/501-174.html")</f>
        <v>https://pronto.by/catalog/product/501-174.html</v>
      </c>
    </row>
    <row r="208" spans="1:14" customFormat="1" ht="41.4">
      <c r="A208" s="35" t="s">
        <v>507</v>
      </c>
      <c r="B208" s="19" t="s">
        <v>508</v>
      </c>
      <c r="C208" s="20" t="s">
        <v>509</v>
      </c>
      <c r="D208" s="36" t="s">
        <v>28</v>
      </c>
      <c r="E208" s="37" t="s">
        <v>3292</v>
      </c>
      <c r="F208" s="43">
        <v>73.739999999999995</v>
      </c>
      <c r="G208" s="100">
        <f t="shared" si="3"/>
        <v>73.739999999999995</v>
      </c>
      <c r="H208" s="101"/>
      <c r="I208" s="100">
        <f>G208*H208</f>
        <v>0</v>
      </c>
      <c r="J208" s="39" t="s">
        <v>3336</v>
      </c>
      <c r="K208" s="40" t="s">
        <v>31</v>
      </c>
      <c r="L208" s="41"/>
      <c r="M208" s="42" t="str">
        <f>HYPERLINK("https://catalog.onliner.by/christmasdecor/neonnight/nn501173", "https://catalog.onliner.by/christmasdecor/neonnight/nn501173")</f>
        <v>https://catalog.onliner.by/christmasdecor/neonnight/nn501173</v>
      </c>
      <c r="N208" s="42" t="str">
        <f>HYPERLINK("https://pronto.by/catalog/product/501-173.html", "https://pronto.by/catalog/product/501-173.html")</f>
        <v>https://pronto.by/catalog/product/501-173.html</v>
      </c>
    </row>
    <row r="209" spans="1:14" customFormat="1" ht="41.4">
      <c r="A209" s="35" t="s">
        <v>510</v>
      </c>
      <c r="B209" s="19" t="s">
        <v>511</v>
      </c>
      <c r="C209" s="20" t="s">
        <v>512</v>
      </c>
      <c r="D209" s="36" t="s">
        <v>28</v>
      </c>
      <c r="E209" s="37" t="s">
        <v>3292</v>
      </c>
      <c r="F209" s="43">
        <v>137.58000000000001</v>
      </c>
      <c r="G209" s="100">
        <f t="shared" si="3"/>
        <v>137.58000000000001</v>
      </c>
      <c r="H209" s="101"/>
      <c r="I209" s="100">
        <f>G209*H209</f>
        <v>0</v>
      </c>
      <c r="J209" s="39" t="s">
        <v>3336</v>
      </c>
      <c r="K209" s="40" t="s">
        <v>31</v>
      </c>
      <c r="L209" s="41"/>
      <c r="M209" s="42" t="str">
        <f>HYPERLINK("https://catalog.onliner.by/christmasdecor/neonnight/501186", "https://catalog.onliner.by/christmasdecor/neonnight/501186")</f>
        <v>https://catalog.onliner.by/christmasdecor/neonnight/501186</v>
      </c>
      <c r="N209" s="42" t="str">
        <f>HYPERLINK("https://pronto.by/catalog/product/501-186.html", "https://pronto.by/catalog/product/501-186.html")</f>
        <v>https://pronto.by/catalog/product/501-186.html</v>
      </c>
    </row>
    <row r="210" spans="1:14" customFormat="1" ht="41.4">
      <c r="A210" s="35" t="s">
        <v>513</v>
      </c>
      <c r="B210" s="19" t="s">
        <v>514</v>
      </c>
      <c r="C210" s="20" t="s">
        <v>515</v>
      </c>
      <c r="D210" s="36" t="s">
        <v>28</v>
      </c>
      <c r="E210" s="37" t="s">
        <v>3292</v>
      </c>
      <c r="F210" s="43">
        <v>114.6</v>
      </c>
      <c r="G210" s="100">
        <f t="shared" si="3"/>
        <v>114.6</v>
      </c>
      <c r="H210" s="101"/>
      <c r="I210" s="100">
        <f>G210*H210</f>
        <v>0</v>
      </c>
      <c r="J210" s="39" t="s">
        <v>3336</v>
      </c>
      <c r="K210" s="40" t="s">
        <v>31</v>
      </c>
      <c r="L210" s="41"/>
      <c r="M210" s="42" t="str">
        <f>HYPERLINK("https://catalog.onliner.by/christmasdecor/neonnight/nn501163", "https://catalog.onliner.by/christmasdecor/neonnight/nn501163")</f>
        <v>https://catalog.onliner.by/christmasdecor/neonnight/nn501163</v>
      </c>
      <c r="N210" s="42" t="str">
        <f>HYPERLINK("https://pronto.by/catalog/product/501-163.html", "https://pronto.by/catalog/product/501-163.html")</f>
        <v>https://pronto.by/catalog/product/501-163.html</v>
      </c>
    </row>
    <row r="211" spans="1:14" customFormat="1" ht="41.4">
      <c r="A211" s="35" t="s">
        <v>516</v>
      </c>
      <c r="B211" s="19" t="s">
        <v>517</v>
      </c>
      <c r="C211" s="20" t="s">
        <v>518</v>
      </c>
      <c r="D211" s="36" t="s">
        <v>28</v>
      </c>
      <c r="E211" s="37" t="s">
        <v>3291</v>
      </c>
      <c r="F211" s="43">
        <v>89.16</v>
      </c>
      <c r="G211" s="100">
        <f t="shared" si="3"/>
        <v>89.16</v>
      </c>
      <c r="H211" s="101"/>
      <c r="I211" s="100">
        <f>G211*H211</f>
        <v>0</v>
      </c>
      <c r="J211" s="39" t="s">
        <v>3336</v>
      </c>
      <c r="K211" s="40" t="s">
        <v>31</v>
      </c>
      <c r="L211" s="41"/>
      <c r="M211" s="42" t="str">
        <f>HYPERLINK("https://catalog.onliner.by/christmasdecor/neonnight/501068", "https://catalog.onliner.by/christmasdecor/neonnight/501068")</f>
        <v>https://catalog.onliner.by/christmasdecor/neonnight/501068</v>
      </c>
      <c r="N211" s="42" t="str">
        <f>HYPERLINK("https://pronto.by/catalog/product/501-068.html", "https://pronto.by/catalog/product/501-068.html")</f>
        <v>https://pronto.by/catalog/product/501-068.html</v>
      </c>
    </row>
    <row r="212" spans="1:14" customFormat="1" ht="55.2">
      <c r="A212" s="53" t="s">
        <v>3406</v>
      </c>
      <c r="B212" s="19" t="s">
        <v>3407</v>
      </c>
      <c r="C212" s="20" t="s">
        <v>3408</v>
      </c>
      <c r="D212" s="36" t="s">
        <v>28</v>
      </c>
      <c r="E212" s="37" t="s">
        <v>3292</v>
      </c>
      <c r="F212" s="43">
        <v>104.28</v>
      </c>
      <c r="G212" s="100">
        <f t="shared" si="3"/>
        <v>104.28</v>
      </c>
      <c r="H212" s="101"/>
      <c r="I212" s="100">
        <f>G212*H212</f>
        <v>0</v>
      </c>
      <c r="J212" s="39" t="s">
        <v>3336</v>
      </c>
      <c r="K212" s="40"/>
      <c r="L212" s="41"/>
      <c r="M212" s="44"/>
      <c r="N212" s="44"/>
    </row>
    <row r="213" spans="1:14" customFormat="1" ht="30.6">
      <c r="A213" s="35" t="s">
        <v>519</v>
      </c>
      <c r="B213" s="19" t="s">
        <v>520</v>
      </c>
      <c r="C213" s="20" t="s">
        <v>3409</v>
      </c>
      <c r="D213" s="36" t="s">
        <v>28</v>
      </c>
      <c r="E213" s="37" t="s">
        <v>3292</v>
      </c>
      <c r="F213" s="43">
        <v>123.84</v>
      </c>
      <c r="G213" s="100">
        <f t="shared" si="3"/>
        <v>123.84</v>
      </c>
      <c r="H213" s="101"/>
      <c r="I213" s="100">
        <f>G213*H213</f>
        <v>0</v>
      </c>
      <c r="J213" s="39" t="s">
        <v>3336</v>
      </c>
      <c r="K213" s="40" t="s">
        <v>31</v>
      </c>
      <c r="L213" s="41"/>
      <c r="M213" s="42" t="str">
        <f>HYPERLINK("https://catalog.onliner.by/christmasdecor/neonnight/501181", "https://catalog.onliner.by/christmasdecor/neonnight/501181")</f>
        <v>https://catalog.onliner.by/christmasdecor/neonnight/501181</v>
      </c>
      <c r="N213" s="42" t="str">
        <f>HYPERLINK("https://pronto.by/catalog/product/501-181.html", "https://pronto.by/catalog/product/501-181.html")</f>
        <v>https://pronto.by/catalog/product/501-181.html</v>
      </c>
    </row>
    <row r="214" spans="1:14" customFormat="1" ht="41.4">
      <c r="A214" s="35" t="s">
        <v>521</v>
      </c>
      <c r="B214" s="19" t="s">
        <v>522</v>
      </c>
      <c r="C214" s="20" t="s">
        <v>523</v>
      </c>
      <c r="D214" s="36" t="s">
        <v>28</v>
      </c>
      <c r="E214" s="37" t="s">
        <v>3292</v>
      </c>
      <c r="F214" s="43">
        <v>114.6</v>
      </c>
      <c r="G214" s="100">
        <f t="shared" si="3"/>
        <v>114.6</v>
      </c>
      <c r="H214" s="101"/>
      <c r="I214" s="100">
        <f>G214*H214</f>
        <v>0</v>
      </c>
      <c r="J214" s="39" t="s">
        <v>3336</v>
      </c>
      <c r="K214" s="40" t="s">
        <v>31</v>
      </c>
      <c r="L214" s="41"/>
      <c r="M214" s="42" t="str">
        <f>HYPERLINK("https://catalog.onliner.by/christmasdecor/neonnight/501171", "https://catalog.onliner.by/christmasdecor/neonnight/501171")</f>
        <v>https://catalog.onliner.by/christmasdecor/neonnight/501171</v>
      </c>
      <c r="N214" s="42" t="str">
        <f>HYPERLINK("https://pronto.by/catalog/product/501-171.html", "https://pronto.by/catalog/product/501-171.html")</f>
        <v>https://pronto.by/catalog/product/501-171.html</v>
      </c>
    </row>
    <row r="215" spans="1:14" customFormat="1" ht="55.2">
      <c r="A215" s="53" t="s">
        <v>3410</v>
      </c>
      <c r="B215" s="19" t="s">
        <v>3411</v>
      </c>
      <c r="C215" s="20" t="s">
        <v>3412</v>
      </c>
      <c r="D215" s="36" t="s">
        <v>28</v>
      </c>
      <c r="E215" s="37" t="s">
        <v>3291</v>
      </c>
      <c r="F215" s="43">
        <v>137.58000000000001</v>
      </c>
      <c r="G215" s="100">
        <f t="shared" si="3"/>
        <v>137.58000000000001</v>
      </c>
      <c r="H215" s="101"/>
      <c r="I215" s="100">
        <f>G215*H215</f>
        <v>0</v>
      </c>
      <c r="J215" s="39" t="s">
        <v>3336</v>
      </c>
      <c r="K215" s="40" t="s">
        <v>31</v>
      </c>
      <c r="L215" s="41"/>
      <c r="M215" s="44"/>
      <c r="N215" s="44"/>
    </row>
    <row r="216" spans="1:14" customFormat="1" ht="55.2">
      <c r="A216" s="53" t="s">
        <v>3413</v>
      </c>
      <c r="B216" s="19" t="s">
        <v>3414</v>
      </c>
      <c r="C216" s="20" t="s">
        <v>3415</v>
      </c>
      <c r="D216" s="36" t="s">
        <v>28</v>
      </c>
      <c r="E216" s="37" t="s">
        <v>3292</v>
      </c>
      <c r="F216" s="43">
        <v>114.6</v>
      </c>
      <c r="G216" s="100">
        <f t="shared" si="3"/>
        <v>114.6</v>
      </c>
      <c r="H216" s="101"/>
      <c r="I216" s="100">
        <f>G216*H216</f>
        <v>0</v>
      </c>
      <c r="J216" s="39" t="s">
        <v>3336</v>
      </c>
      <c r="K216" s="40"/>
      <c r="L216" s="41"/>
      <c r="M216" s="44"/>
      <c r="N216" s="44"/>
    </row>
    <row r="217" spans="1:14" customFormat="1" ht="81.599999999999994">
      <c r="A217" s="35" t="s">
        <v>524</v>
      </c>
      <c r="B217" s="19" t="s">
        <v>525</v>
      </c>
      <c r="C217" s="20" t="s">
        <v>526</v>
      </c>
      <c r="D217" s="36" t="s">
        <v>28</v>
      </c>
      <c r="E217" s="37" t="s">
        <v>3292</v>
      </c>
      <c r="F217" s="43">
        <v>95.52000000000001</v>
      </c>
      <c r="G217" s="100">
        <f t="shared" si="3"/>
        <v>95.52</v>
      </c>
      <c r="H217" s="101"/>
      <c r="I217" s="100">
        <f>G217*H217</f>
        <v>0</v>
      </c>
      <c r="J217" s="39" t="s">
        <v>3336</v>
      </c>
      <c r="K217" s="40" t="s">
        <v>31</v>
      </c>
      <c r="L217" s="41"/>
      <c r="M217" s="42" t="s">
        <v>527</v>
      </c>
      <c r="N217" s="42" t="str">
        <f>HYPERLINK("https://pronto.by/catalog/prazdnichnaya-svetotehnika/home-konechnye-potrebiteli/figury-interernye/fonari-s-effektom-snegopada-i-konfetti/501-166.html", "https://pronto.by/catalog/prazdnichnaya-svetotehnika/home-konechnye-potrebiteli/figury-interernye/fonari-s-effektom-snegopada-i-konfetti/501-166.html")</f>
        <v>https://pronto.by/catalog/prazdnichnaya-svetotehnika/home-konechnye-potrebiteli/figury-interernye/fonari-s-effektom-snegopada-i-konfetti/501-166.html</v>
      </c>
    </row>
    <row r="218" spans="1:14" customFormat="1" ht="41.4">
      <c r="A218" s="35" t="s">
        <v>528</v>
      </c>
      <c r="B218" s="19" t="s">
        <v>529</v>
      </c>
      <c r="C218" s="20" t="s">
        <v>530</v>
      </c>
      <c r="D218" s="36" t="s">
        <v>28</v>
      </c>
      <c r="E218" s="37" t="s">
        <v>3290</v>
      </c>
      <c r="F218" s="43">
        <v>137.58000000000001</v>
      </c>
      <c r="G218" s="100">
        <f t="shared" si="3"/>
        <v>137.58000000000001</v>
      </c>
      <c r="H218" s="101"/>
      <c r="I218" s="100">
        <f>G218*H218</f>
        <v>0</v>
      </c>
      <c r="J218" s="39" t="s">
        <v>3336</v>
      </c>
      <c r="K218" s="40" t="s">
        <v>41</v>
      </c>
      <c r="L218" s="41"/>
      <c r="M218" s="42" t="str">
        <f>HYPERLINK("https://catalog.onliner.by/christmasdecor/neonnight/nn501164", "https://catalog.onliner.by/christmasdecor/neonnight/nn501164")</f>
        <v>https://catalog.onliner.by/christmasdecor/neonnight/nn501164</v>
      </c>
      <c r="N218" s="42" t="str">
        <f>HYPERLINK("https://pronto.by/catalog/product/501-164.html", "https://pronto.by/catalog/product/501-164.html")</f>
        <v>https://pronto.by/catalog/product/501-164.html</v>
      </c>
    </row>
    <row r="219" spans="1:14" customFormat="1" ht="41.4">
      <c r="A219" s="35" t="s">
        <v>531</v>
      </c>
      <c r="B219" s="19" t="s">
        <v>532</v>
      </c>
      <c r="C219" s="20" t="s">
        <v>533</v>
      </c>
      <c r="D219" s="36" t="s">
        <v>28</v>
      </c>
      <c r="E219" s="37" t="s">
        <v>3292</v>
      </c>
      <c r="F219" s="43">
        <v>82.44</v>
      </c>
      <c r="G219" s="100">
        <f t="shared" si="3"/>
        <v>82.44</v>
      </c>
      <c r="H219" s="101"/>
      <c r="I219" s="100">
        <f>G219*H219</f>
        <v>0</v>
      </c>
      <c r="J219" s="39" t="s">
        <v>3336</v>
      </c>
      <c r="K219" s="40" t="s">
        <v>31</v>
      </c>
      <c r="L219" s="41"/>
      <c r="M219" s="42" t="str">
        <f>HYPERLINK("https://catalog.onliner.by/christmasdecor/neonnight/501060", "https://catalog.onliner.by/christmasdecor/neonnight/501060")</f>
        <v>https://catalog.onliner.by/christmasdecor/neonnight/501060</v>
      </c>
      <c r="N219" s="42" t="str">
        <f>HYPERLINK("https://pronto.by/catalog/product/501-060.html", "https://pronto.by/catalog/product/501-060.html")</f>
        <v>https://pronto.by/catalog/product/501-060.html</v>
      </c>
    </row>
    <row r="220" spans="1:14" customFormat="1" ht="55.2">
      <c r="A220" s="35" t="s">
        <v>534</v>
      </c>
      <c r="B220" s="19" t="s">
        <v>535</v>
      </c>
      <c r="C220" s="20" t="s">
        <v>536</v>
      </c>
      <c r="D220" s="36" t="s">
        <v>28</v>
      </c>
      <c r="E220" s="37" t="s">
        <v>3291</v>
      </c>
      <c r="F220" s="43">
        <v>89.34</v>
      </c>
      <c r="G220" s="100">
        <f t="shared" si="3"/>
        <v>89.34</v>
      </c>
      <c r="H220" s="101"/>
      <c r="I220" s="100">
        <f>G220*H220</f>
        <v>0</v>
      </c>
      <c r="J220" s="39" t="s">
        <v>3336</v>
      </c>
      <c r="K220" s="40" t="s">
        <v>31</v>
      </c>
      <c r="L220" s="41"/>
      <c r="M220" s="42" t="str">
        <f>HYPERLINK("https://catalog.onliner.by/christmasdecor/neonnight/501064", "https://catalog.onliner.by/christmasdecor/neonnight/501064")</f>
        <v>https://catalog.onliner.by/christmasdecor/neonnight/501064</v>
      </c>
      <c r="N220" s="42" t="str">
        <f>HYPERLINK("https://pronto.by/catalog/product/501-064.html", "https://pronto.by/catalog/product/501-064.html")</f>
        <v>https://pronto.by/catalog/product/501-064.html</v>
      </c>
    </row>
    <row r="221" spans="1:14" customFormat="1" ht="41.4">
      <c r="A221" s="35" t="s">
        <v>537</v>
      </c>
      <c r="B221" s="19" t="s">
        <v>538</v>
      </c>
      <c r="C221" s="20" t="s">
        <v>539</v>
      </c>
      <c r="D221" s="36" t="s">
        <v>28</v>
      </c>
      <c r="E221" s="37" t="s">
        <v>3292</v>
      </c>
      <c r="F221" s="43">
        <v>137.58000000000001</v>
      </c>
      <c r="G221" s="100">
        <f t="shared" si="3"/>
        <v>137.58000000000001</v>
      </c>
      <c r="H221" s="101"/>
      <c r="I221" s="100">
        <f>G221*H221</f>
        <v>0</v>
      </c>
      <c r="J221" s="39" t="s">
        <v>3336</v>
      </c>
      <c r="K221" s="40" t="s">
        <v>31</v>
      </c>
      <c r="L221" s="41"/>
      <c r="M221" s="42" t="str">
        <f>HYPERLINK("https://catalog.onliner.by/christmasdecor/neonnight/501184", "https://catalog.onliner.by/christmasdecor/neonnight/501184")</f>
        <v>https://catalog.onliner.by/christmasdecor/neonnight/501184</v>
      </c>
      <c r="N221" s="42" t="str">
        <f>HYPERLINK("https://pronto.by/catalog/product/501-184.html", "https://pronto.by/catalog/product/501-184.html")</f>
        <v>https://pronto.by/catalog/product/501-184.html</v>
      </c>
    </row>
    <row r="222" spans="1:14" customFormat="1" ht="41.4">
      <c r="A222" s="35" t="s">
        <v>540</v>
      </c>
      <c r="B222" s="19" t="s">
        <v>541</v>
      </c>
      <c r="C222" s="20" t="s">
        <v>542</v>
      </c>
      <c r="D222" s="36" t="s">
        <v>28</v>
      </c>
      <c r="E222" s="37" t="s">
        <v>3298</v>
      </c>
      <c r="F222" s="43">
        <v>89.16</v>
      </c>
      <c r="G222" s="100">
        <f t="shared" si="3"/>
        <v>89.16</v>
      </c>
      <c r="H222" s="101"/>
      <c r="I222" s="100">
        <f>G222*H222</f>
        <v>0</v>
      </c>
      <c r="J222" s="39" t="s">
        <v>3336</v>
      </c>
      <c r="K222" s="40" t="s">
        <v>41</v>
      </c>
      <c r="L222" s="41"/>
      <c r="M222" s="42" t="str">
        <f>HYPERLINK("https://catalog.onliner.by/christmasdecor/neonnight/nn501162", "https://catalog.onliner.by/christmasdecor/neonnight/nn501162")</f>
        <v>https://catalog.onliner.by/christmasdecor/neonnight/nn501162</v>
      </c>
      <c r="N222" s="42" t="str">
        <f>HYPERLINK("https://pronto.by/catalog/product/501-162.html", "https://pronto.by/catalog/product/501-162.html")</f>
        <v>https://pronto.by/catalog/product/501-162.html</v>
      </c>
    </row>
    <row r="223" spans="1:14" customFormat="1" ht="55.2">
      <c r="A223" s="35" t="s">
        <v>543</v>
      </c>
      <c r="B223" s="19" t="s">
        <v>544</v>
      </c>
      <c r="C223" s="20" t="s">
        <v>545</v>
      </c>
      <c r="D223" s="36" t="s">
        <v>28</v>
      </c>
      <c r="E223" s="37" t="s">
        <v>3292</v>
      </c>
      <c r="F223" s="43">
        <v>89.16</v>
      </c>
      <c r="G223" s="100">
        <f t="shared" si="3"/>
        <v>89.16</v>
      </c>
      <c r="H223" s="101"/>
      <c r="I223" s="100">
        <f>G223*H223</f>
        <v>0</v>
      </c>
      <c r="J223" s="39" t="s">
        <v>3336</v>
      </c>
      <c r="K223" s="40" t="s">
        <v>41</v>
      </c>
      <c r="L223" s="41"/>
      <c r="M223" s="42" t="str">
        <f>HYPERLINK("https://catalog.onliner.by/christmasdecor/neonnight/501062", "https://catalog.onliner.by/christmasdecor/neonnight/501062")</f>
        <v>https://catalog.onliner.by/christmasdecor/neonnight/501062</v>
      </c>
      <c r="N223" s="42" t="str">
        <f>HYPERLINK("https://pronto.by/catalog/product/501-062.html", "https://pronto.by/catalog/product/501-062.html")</f>
        <v>https://pronto.by/catalog/product/501-062.html</v>
      </c>
    </row>
    <row r="224" spans="1:14" customFormat="1" ht="41.4">
      <c r="A224" s="35" t="s">
        <v>546</v>
      </c>
      <c r="B224" s="19" t="s">
        <v>547</v>
      </c>
      <c r="C224" s="20" t="s">
        <v>548</v>
      </c>
      <c r="D224" s="36" t="s">
        <v>28</v>
      </c>
      <c r="E224" s="37" t="s">
        <v>3292</v>
      </c>
      <c r="F224" s="43">
        <v>89.16</v>
      </c>
      <c r="G224" s="100">
        <f t="shared" si="3"/>
        <v>89.16</v>
      </c>
      <c r="H224" s="101"/>
      <c r="I224" s="100">
        <f>G224*H224</f>
        <v>0</v>
      </c>
      <c r="J224" s="39" t="s">
        <v>3336</v>
      </c>
      <c r="K224" s="40" t="s">
        <v>41</v>
      </c>
      <c r="L224" s="41"/>
      <c r="M224" s="42" t="str">
        <f>HYPERLINK("https://catalog.onliner.by/christmasdecor/neonnight/501065", "https://catalog.onliner.by/christmasdecor/neonnight/501065")</f>
        <v>https://catalog.onliner.by/christmasdecor/neonnight/501065</v>
      </c>
      <c r="N224" s="42" t="str">
        <f>HYPERLINK("https://pronto.by/catalog/product/501-065.html", "https://pronto.by/catalog/product/501-065.html")</f>
        <v>https://pronto.by/catalog/product/501-065.html</v>
      </c>
    </row>
    <row r="225" spans="1:14" customFormat="1" ht="69">
      <c r="A225" s="35" t="s">
        <v>549</v>
      </c>
      <c r="B225" s="19" t="s">
        <v>550</v>
      </c>
      <c r="C225" s="20" t="s">
        <v>551</v>
      </c>
      <c r="D225" s="36" t="s">
        <v>28</v>
      </c>
      <c r="E225" s="37" t="s">
        <v>3292</v>
      </c>
      <c r="F225" s="43">
        <v>89.16</v>
      </c>
      <c r="G225" s="100">
        <f t="shared" si="3"/>
        <v>89.16</v>
      </c>
      <c r="H225" s="101"/>
      <c r="I225" s="100">
        <f>G225*H225</f>
        <v>0</v>
      </c>
      <c r="J225" s="39" t="s">
        <v>3336</v>
      </c>
      <c r="K225" s="40" t="s">
        <v>41</v>
      </c>
      <c r="L225" s="41"/>
      <c r="M225" s="42" t="str">
        <f>HYPERLINK("https://catalog.onliner.by/christmasdecor/neonnight/501066", "https://catalog.onliner.by/christmasdecor/neonnight/501066")</f>
        <v>https://catalog.onliner.by/christmasdecor/neonnight/501066</v>
      </c>
      <c r="N225" s="42" t="str">
        <f>HYPERLINK("https://pronto.by/catalog/product/501-066.html", "https://pronto.by/catalog/product/501-066.html")</f>
        <v>https://pronto.by/catalog/product/501-066.html</v>
      </c>
    </row>
    <row r="226" spans="1:14" customFormat="1" ht="41.4">
      <c r="A226" s="35" t="s">
        <v>552</v>
      </c>
      <c r="B226" s="19" t="s">
        <v>553</v>
      </c>
      <c r="C226" s="20" t="s">
        <v>554</v>
      </c>
      <c r="D226" s="36" t="s">
        <v>28</v>
      </c>
      <c r="E226" s="37" t="s">
        <v>3292</v>
      </c>
      <c r="F226" s="43">
        <v>82.44</v>
      </c>
      <c r="G226" s="100">
        <f t="shared" si="3"/>
        <v>82.44</v>
      </c>
      <c r="H226" s="101"/>
      <c r="I226" s="100">
        <f>G226*H226</f>
        <v>0</v>
      </c>
      <c r="J226" s="39" t="s">
        <v>3336</v>
      </c>
      <c r="K226" s="40" t="s">
        <v>41</v>
      </c>
      <c r="L226" s="41"/>
      <c r="M226" s="42" t="str">
        <f>HYPERLINK("https://catalog.onliner.by/christmasdecor/neonnight/501061", "https://catalog.onliner.by/christmasdecor/neonnight/501061")</f>
        <v>https://catalog.onliner.by/christmasdecor/neonnight/501061</v>
      </c>
      <c r="N226" s="42" t="str">
        <f>HYPERLINK("https://pronto.by/catalog/product/501-061.html", "https://pronto.by/catalog/product/501-061.html")</f>
        <v>https://pronto.by/catalog/product/501-061.html</v>
      </c>
    </row>
    <row r="227" spans="1:14" customFormat="1" ht="81.599999999999994">
      <c r="A227" s="35" t="s">
        <v>555</v>
      </c>
      <c r="B227" s="19" t="s">
        <v>556</v>
      </c>
      <c r="C227" s="20" t="s">
        <v>557</v>
      </c>
      <c r="D227" s="36" t="s">
        <v>28</v>
      </c>
      <c r="E227" s="37" t="s">
        <v>3308</v>
      </c>
      <c r="F227" s="43">
        <v>33.54</v>
      </c>
      <c r="G227" s="100">
        <f t="shared" si="3"/>
        <v>33.54</v>
      </c>
      <c r="H227" s="101"/>
      <c r="I227" s="100">
        <f>G227*H227</f>
        <v>0</v>
      </c>
      <c r="J227" s="39" t="s">
        <v>3336</v>
      </c>
      <c r="K227" s="40" t="s">
        <v>31</v>
      </c>
      <c r="L227" s="41"/>
      <c r="M227" s="42" t="s">
        <v>558</v>
      </c>
      <c r="N227" s="42" t="str">
        <f>HYPERLINK("https://pronto.by/catalog/prazdnichnaya-svetotehnika/home-konechnye-potrebiteli/figury-interernye/fonari-s-effektom-snegopada-i-konfetti/501-160.html", "https://pronto.by/catalog/prazdnichnaya-svetotehnika/home-konechnye-potrebiteli/figury-interernye/fonari-s-effektom-snegopada-i-konfetti/501-160.html")</f>
        <v>https://pronto.by/catalog/prazdnichnaya-svetotehnika/home-konechnye-potrebiteli/figury-interernye/fonari-s-effektom-snegopada-i-konfetti/501-160.html</v>
      </c>
    </row>
    <row r="228" spans="1:14" customFormat="1" ht="81.599999999999994">
      <c r="A228" s="35" t="s">
        <v>559</v>
      </c>
      <c r="B228" s="19" t="s">
        <v>560</v>
      </c>
      <c r="C228" s="20" t="s">
        <v>561</v>
      </c>
      <c r="D228" s="36" t="s">
        <v>28</v>
      </c>
      <c r="E228" s="37" t="s">
        <v>3292</v>
      </c>
      <c r="F228" s="43">
        <v>89.16</v>
      </c>
      <c r="G228" s="100">
        <f t="shared" si="3"/>
        <v>89.16</v>
      </c>
      <c r="H228" s="101"/>
      <c r="I228" s="100">
        <f>G228*H228</f>
        <v>0</v>
      </c>
      <c r="J228" s="39" t="s">
        <v>3336</v>
      </c>
      <c r="K228" s="40" t="s">
        <v>31</v>
      </c>
      <c r="L228" s="41"/>
      <c r="M228" s="42" t="str">
        <f>HYPERLINK("https://catalog.onliner.by/christmasdecor/neonnight/501161", "https://catalog.onliner.by/christmasdecor/neonnight/501161")</f>
        <v>https://catalog.onliner.by/christmasdecor/neonnight/501161</v>
      </c>
      <c r="N228" s="42" t="str">
        <f>HYPERLINK("https://pronto.by/catalog/prazdnichnaya-svetotehnika/home-konechnye-potrebiteli/figury-interernye/fonari-s-effektom-snegopada-i-konfetti/501-161.html", "https://pronto.by/catalog/prazdnichnaya-svetotehnika/home-konechnye-potrebiteli/figury-interernye/fonari-s-effektom-snegopada-i-konfetti/501-161.html")</f>
        <v>https://pronto.by/catalog/prazdnichnaya-svetotehnika/home-konechnye-potrebiteli/figury-interernye/fonari-s-effektom-snegopada-i-konfetti/501-161.html</v>
      </c>
    </row>
    <row r="229" spans="1:14" customFormat="1" ht="41.4">
      <c r="A229" s="53" t="s">
        <v>3416</v>
      </c>
      <c r="B229" s="19" t="s">
        <v>3417</v>
      </c>
      <c r="C229" s="20" t="s">
        <v>3418</v>
      </c>
      <c r="D229" s="36" t="s">
        <v>28</v>
      </c>
      <c r="E229" s="37" t="s">
        <v>3292</v>
      </c>
      <c r="F229" s="43">
        <v>89.16</v>
      </c>
      <c r="G229" s="100">
        <f t="shared" si="3"/>
        <v>89.16</v>
      </c>
      <c r="H229" s="101"/>
      <c r="I229" s="100">
        <f>G229*H229</f>
        <v>0</v>
      </c>
      <c r="J229" s="39" t="s">
        <v>3336</v>
      </c>
      <c r="K229" s="40"/>
      <c r="L229" s="41"/>
      <c r="M229" s="44"/>
      <c r="N229" s="44"/>
    </row>
    <row r="230" spans="1:14" customFormat="1" ht="81.599999999999994">
      <c r="A230" s="35" t="s">
        <v>562</v>
      </c>
      <c r="B230" s="19" t="s">
        <v>563</v>
      </c>
      <c r="C230" s="20" t="s">
        <v>564</v>
      </c>
      <c r="D230" s="36" t="s">
        <v>28</v>
      </c>
      <c r="E230" s="37" t="s">
        <v>3308</v>
      </c>
      <c r="F230" s="43">
        <v>33.54</v>
      </c>
      <c r="G230" s="100">
        <f t="shared" si="3"/>
        <v>33.54</v>
      </c>
      <c r="H230" s="101"/>
      <c r="I230" s="100">
        <f>G230*H230</f>
        <v>0</v>
      </c>
      <c r="J230" s="39" t="s">
        <v>3336</v>
      </c>
      <c r="K230" s="40" t="s">
        <v>31</v>
      </c>
      <c r="L230" s="41"/>
      <c r="M230" s="42" t="s">
        <v>565</v>
      </c>
      <c r="N230" s="42" t="str">
        <f>HYPERLINK("https://pronto.by/catalog/prazdnichnaya-svetotehnika/home-konechnye-potrebiteli/figury-interernye/fonari-s-effektom-snegopada-i-konfetti/501-187.html", "https://pronto.by/catalog/prazdnichnaya-svetotehnika/home-konechnye-potrebiteli/figury-interernye/fonari-s-effektom-snegopada-i-konfetti/501-187.html")</f>
        <v>https://pronto.by/catalog/prazdnichnaya-svetotehnika/home-konechnye-potrebiteli/figury-interernye/fonari-s-effektom-snegopada-i-konfetti/501-187.html</v>
      </c>
    </row>
    <row r="231" spans="1:14" customFormat="1" ht="81.599999999999994">
      <c r="A231" s="35" t="s">
        <v>566</v>
      </c>
      <c r="B231" s="19" t="s">
        <v>567</v>
      </c>
      <c r="C231" s="20" t="s">
        <v>568</v>
      </c>
      <c r="D231" s="36" t="s">
        <v>28</v>
      </c>
      <c r="E231" s="37" t="s">
        <v>3308</v>
      </c>
      <c r="F231" s="43">
        <v>38.22</v>
      </c>
      <c r="G231" s="100">
        <f t="shared" si="3"/>
        <v>38.22</v>
      </c>
      <c r="H231" s="101"/>
      <c r="I231" s="100">
        <f>G231*H231</f>
        <v>0</v>
      </c>
      <c r="J231" s="39" t="s">
        <v>3336</v>
      </c>
      <c r="K231" s="40" t="s">
        <v>31</v>
      </c>
      <c r="L231" s="41"/>
      <c r="M231" s="42" t="s">
        <v>569</v>
      </c>
      <c r="N231" s="42" t="str">
        <f>HYPERLINK("https://pronto.by/catalog/prazdnichnaya-svetotehnika/home-konechnye-potrebiteli/figury-interernye/fonari-s-effektom-snegopada-i-konfetti/501-182.html", "https://pronto.by/catalog/prazdnichnaya-svetotehnika/home-konechnye-potrebiteli/figury-interernye/fonari-s-effektom-snegopada-i-konfetti/501-182.html")</f>
        <v>https://pronto.by/catalog/prazdnichnaya-svetotehnika/home-konechnye-potrebiteli/figury-interernye/fonari-s-effektom-snegopada-i-konfetti/501-182.html</v>
      </c>
    </row>
    <row r="232" spans="1:14" customFormat="1" ht="81.599999999999994">
      <c r="A232" s="35" t="s">
        <v>570</v>
      </c>
      <c r="B232" s="19" t="s">
        <v>571</v>
      </c>
      <c r="C232" s="20" t="s">
        <v>572</v>
      </c>
      <c r="D232" s="36" t="s">
        <v>28</v>
      </c>
      <c r="E232" s="37" t="s">
        <v>3308</v>
      </c>
      <c r="F232" s="43">
        <v>25.140000000000004</v>
      </c>
      <c r="G232" s="100">
        <f t="shared" si="3"/>
        <v>25.14</v>
      </c>
      <c r="H232" s="101"/>
      <c r="I232" s="100">
        <f>G232*H232</f>
        <v>0</v>
      </c>
      <c r="J232" s="39" t="s">
        <v>3336</v>
      </c>
      <c r="K232" s="40" t="s">
        <v>31</v>
      </c>
      <c r="L232" s="41"/>
      <c r="M232" s="42" t="s">
        <v>573</v>
      </c>
      <c r="N232" s="42" t="str">
        <f>HYPERLINK("https://pronto.by/catalog/prazdnichnaya-svetotehnika/home-konechnye-potrebiteli/figury-interernye/fonari-s-effektom-snegopada-i-konfetti/501-185.html", "https://pronto.by/catalog/prazdnichnaya-svetotehnika/home-konechnye-potrebiteli/figury-interernye/fonari-s-effektom-snegopada-i-konfetti/501-185.html")</f>
        <v>https://pronto.by/catalog/prazdnichnaya-svetotehnika/home-konechnye-potrebiteli/figury-interernye/fonari-s-effektom-snegopada-i-konfetti/501-185.html</v>
      </c>
    </row>
    <row r="233" spans="1:14" customFormat="1" ht="81.599999999999994">
      <c r="A233" s="35" t="s">
        <v>574</v>
      </c>
      <c r="B233" s="19" t="s">
        <v>575</v>
      </c>
      <c r="C233" s="20" t="s">
        <v>576</v>
      </c>
      <c r="D233" s="36" t="s">
        <v>28</v>
      </c>
      <c r="E233" s="37" t="s">
        <v>3308</v>
      </c>
      <c r="F233" s="43">
        <v>33.54</v>
      </c>
      <c r="G233" s="100">
        <f t="shared" si="3"/>
        <v>33.54</v>
      </c>
      <c r="H233" s="101"/>
      <c r="I233" s="100">
        <f>G233*H233</f>
        <v>0</v>
      </c>
      <c r="J233" s="39" t="s">
        <v>3336</v>
      </c>
      <c r="K233" s="40" t="s">
        <v>31</v>
      </c>
      <c r="L233" s="41"/>
      <c r="M233" s="42" t="s">
        <v>577</v>
      </c>
      <c r="N233" s="42" t="str">
        <f>HYPERLINK("https://pronto.by/catalog/prazdnichnaya-svetotehnika/home-konechnye-potrebiteli/figury-interernye/fonari-s-effektom-snegopada-i-konfetti/501-183.html", "https://pronto.by/catalog/prazdnichnaya-svetotehnika/home-konechnye-potrebiteli/figury-interernye/fonari-s-effektom-snegopada-i-konfetti/501-183.html")</f>
        <v>https://pronto.by/catalog/prazdnichnaya-svetotehnika/home-konechnye-potrebiteli/figury-interernye/fonari-s-effektom-snegopada-i-konfetti/501-183.html</v>
      </c>
    </row>
    <row r="234" spans="1:14" customFormat="1" ht="15.6">
      <c r="A234" s="80" t="s">
        <v>3419</v>
      </c>
      <c r="B234" s="67"/>
      <c r="C234" s="67"/>
      <c r="D234" s="32"/>
      <c r="E234" s="32"/>
      <c r="F234" s="32"/>
      <c r="G234" s="52"/>
      <c r="H234" s="52"/>
      <c r="I234" s="52"/>
      <c r="J234" s="32"/>
      <c r="K234" s="32"/>
      <c r="L234" s="33"/>
      <c r="M234" s="33"/>
      <c r="N234" s="34"/>
    </row>
    <row r="235" spans="1:14" customFormat="1" ht="81.599999999999994">
      <c r="A235" s="45" t="s">
        <v>578</v>
      </c>
      <c r="B235" s="46" t="s">
        <v>579</v>
      </c>
      <c r="C235" s="54" t="s">
        <v>580</v>
      </c>
      <c r="D235" s="47" t="s">
        <v>28</v>
      </c>
      <c r="E235" s="48" t="s">
        <v>3280</v>
      </c>
      <c r="F235" s="43">
        <v>42.48</v>
      </c>
      <c r="G235" s="100">
        <f t="shared" si="3"/>
        <v>42.48</v>
      </c>
      <c r="H235" s="101"/>
      <c r="I235" s="100">
        <f>G235*H235</f>
        <v>0</v>
      </c>
      <c r="J235" s="39" t="s">
        <v>3336</v>
      </c>
      <c r="K235" s="40" t="s">
        <v>31</v>
      </c>
      <c r="L235" s="41"/>
      <c r="M235" s="42" t="s">
        <v>581</v>
      </c>
      <c r="N235" s="42" t="str">
        <f>HYPERLINK("https://pronto.by/catalog/prazdnichnaya-svetotehnika/home-konechnye-potrebiteli/figury-interernye/fonari-dekorativnye/513-058.html", "https://pronto.by/catalog/prazdnichnaya-svetotehnika/home-konechnye-potrebiteli/figury-interernye/fonari-dekorativnye/513-058.html")</f>
        <v>https://pronto.by/catalog/prazdnichnaya-svetotehnika/home-konechnye-potrebiteli/figury-interernye/fonari-dekorativnye/513-058.html</v>
      </c>
    </row>
    <row r="236" spans="1:14" customFormat="1" ht="69">
      <c r="A236" s="35" t="s">
        <v>582</v>
      </c>
      <c r="B236" s="19" t="s">
        <v>583</v>
      </c>
      <c r="C236" s="20" t="s">
        <v>584</v>
      </c>
      <c r="D236" s="36" t="s">
        <v>28</v>
      </c>
      <c r="E236" s="37" t="s">
        <v>3292</v>
      </c>
      <c r="F236" s="43">
        <v>42.48</v>
      </c>
      <c r="G236" s="100">
        <f t="shared" si="3"/>
        <v>42.48</v>
      </c>
      <c r="H236" s="101"/>
      <c r="I236" s="100">
        <f>G236*H236</f>
        <v>0</v>
      </c>
      <c r="J236" s="39" t="s">
        <v>3336</v>
      </c>
      <c r="K236" s="40" t="s">
        <v>41</v>
      </c>
      <c r="L236" s="41"/>
      <c r="M236" s="42" t="str">
        <f>HYPERLINK("https://catalog.onliner.by/christmasdecor/neonnight/nn501145", "https://catalog.onliner.by/christmasdecor/neonnight/nn501145")</f>
        <v>https://catalog.onliner.by/christmasdecor/neonnight/nn501145</v>
      </c>
      <c r="N236" s="42" t="str">
        <f>HYPERLINK("https://pronto.by/catalog/product/501-145.html", "https://pronto.by/catalog/product/501-145.html")</f>
        <v>https://pronto.by/catalog/product/501-145.html</v>
      </c>
    </row>
    <row r="237" spans="1:14" customFormat="1" ht="69">
      <c r="A237" s="35" t="s">
        <v>585</v>
      </c>
      <c r="B237" s="19" t="s">
        <v>586</v>
      </c>
      <c r="C237" s="20" t="s">
        <v>587</v>
      </c>
      <c r="D237" s="36" t="s">
        <v>28</v>
      </c>
      <c r="E237" s="37" t="s">
        <v>3290</v>
      </c>
      <c r="F237" s="43">
        <v>42.48</v>
      </c>
      <c r="G237" s="100">
        <f t="shared" si="3"/>
        <v>42.48</v>
      </c>
      <c r="H237" s="101"/>
      <c r="I237" s="100">
        <f>G237*H237</f>
        <v>0</v>
      </c>
      <c r="J237" s="39" t="s">
        <v>3336</v>
      </c>
      <c r="K237" s="40" t="s">
        <v>31</v>
      </c>
      <c r="L237" s="41"/>
      <c r="M237" s="42" t="str">
        <f>HYPERLINK("https://catalog.onliner.by/christmasdecor/neonnight/nn501143", "https://catalog.onliner.by/christmasdecor/neonnight/nn501143")</f>
        <v>https://catalog.onliner.by/christmasdecor/neonnight/nn501143</v>
      </c>
      <c r="N237" s="42" t="str">
        <f>HYPERLINK("https://pronto.by/catalog/product/501-143.html", "https://pronto.by/catalog/product/501-143.html")</f>
        <v>https://pronto.by/catalog/product/501-143.html</v>
      </c>
    </row>
    <row r="238" spans="1:14" customFormat="1" ht="55.2">
      <c r="A238" s="35" t="s">
        <v>588</v>
      </c>
      <c r="B238" s="19" t="s">
        <v>589</v>
      </c>
      <c r="C238" s="20" t="s">
        <v>590</v>
      </c>
      <c r="D238" s="36" t="s">
        <v>28</v>
      </c>
      <c r="E238" s="37" t="s">
        <v>3282</v>
      </c>
      <c r="F238" s="43">
        <v>29.340000000000003</v>
      </c>
      <c r="G238" s="100">
        <f t="shared" si="3"/>
        <v>29.34</v>
      </c>
      <c r="H238" s="101"/>
      <c r="I238" s="100">
        <f>G238*H238</f>
        <v>0</v>
      </c>
      <c r="J238" s="39" t="s">
        <v>3336</v>
      </c>
      <c r="K238" s="40" t="s">
        <v>41</v>
      </c>
      <c r="L238" s="41"/>
      <c r="M238" s="42" t="str">
        <f>HYPERLINK("https://catalog.onliner.by/christmasdecor/neonnight/513052", "https://catalog.onliner.by/christmasdecor/neonnight/513052")</f>
        <v>https://catalog.onliner.by/christmasdecor/neonnight/513052</v>
      </c>
      <c r="N238" s="42" t="str">
        <f>HYPERLINK("https://pronto.by/catalog/product/513-052.html", "https://pronto.by/catalog/product/513-052.html")</f>
        <v>https://pronto.by/catalog/product/513-052.html</v>
      </c>
    </row>
    <row r="239" spans="1:14" customFormat="1" ht="55.2">
      <c r="A239" s="35" t="s">
        <v>591</v>
      </c>
      <c r="B239" s="19" t="s">
        <v>592</v>
      </c>
      <c r="C239" s="20" t="s">
        <v>593</v>
      </c>
      <c r="D239" s="36" t="s">
        <v>28</v>
      </c>
      <c r="E239" s="37" t="s">
        <v>3281</v>
      </c>
      <c r="F239" s="43">
        <v>29.340000000000003</v>
      </c>
      <c r="G239" s="100">
        <f t="shared" si="3"/>
        <v>29.34</v>
      </c>
      <c r="H239" s="101"/>
      <c r="I239" s="100">
        <f>G239*H239</f>
        <v>0</v>
      </c>
      <c r="J239" s="39" t="s">
        <v>3336</v>
      </c>
      <c r="K239" s="40" t="s">
        <v>41</v>
      </c>
      <c r="L239" s="41"/>
      <c r="M239" s="42" t="str">
        <f>HYPERLINK("https://catalog.onliner.by/christmasdecor/neonnight/nn513053", "https://catalog.onliner.by/christmasdecor/neonnight/nn513053")</f>
        <v>https://catalog.onliner.by/christmasdecor/neonnight/nn513053</v>
      </c>
      <c r="N239" s="42" t="str">
        <f>HYPERLINK("https://pronto.by/catalog/product/513-053.html", "https://pronto.by/catalog/product/513-053.html")</f>
        <v>https://pronto.by/catalog/product/513-053.html</v>
      </c>
    </row>
    <row r="240" spans="1:14" customFormat="1" ht="55.2">
      <c r="A240" s="35" t="s">
        <v>594</v>
      </c>
      <c r="B240" s="19" t="s">
        <v>595</v>
      </c>
      <c r="C240" s="20" t="s">
        <v>596</v>
      </c>
      <c r="D240" s="36" t="s">
        <v>28</v>
      </c>
      <c r="E240" s="37" t="s">
        <v>3282</v>
      </c>
      <c r="F240" s="43">
        <v>29.340000000000003</v>
      </c>
      <c r="G240" s="100">
        <f t="shared" si="3"/>
        <v>29.34</v>
      </c>
      <c r="H240" s="101"/>
      <c r="I240" s="100">
        <f>G240*H240</f>
        <v>0</v>
      </c>
      <c r="J240" s="39" t="s">
        <v>3336</v>
      </c>
      <c r="K240" s="40" t="s">
        <v>41</v>
      </c>
      <c r="L240" s="41"/>
      <c r="M240" s="42" t="str">
        <f>HYPERLINK("https://catalog.onliner.by/christmasdecor/neonnight/nn513050", "https://catalog.onliner.by/christmasdecor/neonnight/nn513050")</f>
        <v>https://catalog.onliner.by/christmasdecor/neonnight/nn513050</v>
      </c>
      <c r="N240" s="42" t="str">
        <f>HYPERLINK("https://pronto.by/catalog/product/513-050.html", "https://pronto.by/catalog/product/513-050.html")</f>
        <v>https://pronto.by/catalog/product/513-050.html</v>
      </c>
    </row>
    <row r="241" spans="1:14" customFormat="1" ht="81.599999999999994">
      <c r="A241" s="35" t="s">
        <v>597</v>
      </c>
      <c r="B241" s="19" t="s">
        <v>598</v>
      </c>
      <c r="C241" s="20" t="s">
        <v>599</v>
      </c>
      <c r="D241" s="36" t="s">
        <v>28</v>
      </c>
      <c r="E241" s="37" t="s">
        <v>3280</v>
      </c>
      <c r="F241" s="43">
        <v>275.64</v>
      </c>
      <c r="G241" s="100">
        <f t="shared" si="3"/>
        <v>275.64</v>
      </c>
      <c r="H241" s="101"/>
      <c r="I241" s="100">
        <f>G241*H241</f>
        <v>0</v>
      </c>
      <c r="J241" s="39" t="s">
        <v>3336</v>
      </c>
      <c r="K241" s="40" t="s">
        <v>41</v>
      </c>
      <c r="L241" s="41"/>
      <c r="M241" s="42" t="str">
        <f>HYPERLINK("https://catalog.onliner.by/xmaslights/neonnight/neon513049", "https://catalog.onliner.by/xmaslights/neonnight/neon513049")</f>
        <v>https://catalog.onliner.by/xmaslights/neonnight/neon513049</v>
      </c>
      <c r="N241" s="42" t="str">
        <f>HYPERLINK("https://pronto.by/catalog/prazdnichnaya-svetotehnika/home-konechnye-potrebiteli/figury-interernye/fonari-dekorativnye/513-049.html", "https://pronto.by/catalog/prazdnichnaya-svetotehnika/home-konechnye-potrebiteli/figury-interernye/fonari-dekorativnye/513-049.html")</f>
        <v>https://pronto.by/catalog/prazdnichnaya-svetotehnika/home-konechnye-potrebiteli/figury-interernye/fonari-dekorativnye/513-049.html</v>
      </c>
    </row>
    <row r="242" spans="1:14" customFormat="1" ht="55.2">
      <c r="A242" s="35" t="s">
        <v>600</v>
      </c>
      <c r="B242" s="19" t="s">
        <v>601</v>
      </c>
      <c r="C242" s="20" t="s">
        <v>602</v>
      </c>
      <c r="D242" s="36" t="s">
        <v>28</v>
      </c>
      <c r="E242" s="37" t="s">
        <v>3282</v>
      </c>
      <c r="F242" s="43">
        <v>29.340000000000003</v>
      </c>
      <c r="G242" s="100">
        <f t="shared" si="3"/>
        <v>29.34</v>
      </c>
      <c r="H242" s="101"/>
      <c r="I242" s="100">
        <f>G242*H242</f>
        <v>0</v>
      </c>
      <c r="J242" s="39" t="s">
        <v>3336</v>
      </c>
      <c r="K242" s="40" t="s">
        <v>31</v>
      </c>
      <c r="L242" s="41"/>
      <c r="M242" s="42" t="str">
        <f>HYPERLINK("https://catalog.onliner.by/christmasdecor/neonnight/nn513062", "https://catalog.onliner.by/christmasdecor/neonnight/nn513062")</f>
        <v>https://catalog.onliner.by/christmasdecor/neonnight/nn513062</v>
      </c>
      <c r="N242" s="42" t="str">
        <f>HYPERLINK("https://pronto.by/catalog/product/513-062.html", "https://pronto.by/catalog/product/513-062.html")</f>
        <v>https://pronto.by/catalog/product/513-062.html</v>
      </c>
    </row>
    <row r="243" spans="1:14" customFormat="1" ht="62.4">
      <c r="A243" s="35" t="s">
        <v>603</v>
      </c>
      <c r="B243" s="19" t="s">
        <v>604</v>
      </c>
      <c r="C243" s="20" t="s">
        <v>605</v>
      </c>
      <c r="D243" s="36" t="s">
        <v>28</v>
      </c>
      <c r="E243" s="37" t="s">
        <v>3282</v>
      </c>
      <c r="F243" s="43">
        <v>29.340000000000003</v>
      </c>
      <c r="G243" s="100">
        <f t="shared" si="3"/>
        <v>29.34</v>
      </c>
      <c r="H243" s="101"/>
      <c r="I243" s="100">
        <f>G243*H243</f>
        <v>0</v>
      </c>
      <c r="J243" s="39" t="s">
        <v>3336</v>
      </c>
      <c r="K243" s="40" t="s">
        <v>31</v>
      </c>
      <c r="L243" s="41" t="s">
        <v>3420</v>
      </c>
      <c r="M243" s="42" t="str">
        <f>HYPERLINK("https://catalog.onliner.by/christmasdecor/neonnight/nn513061", "https://catalog.onliner.by/christmasdecor/neonnight/nn513061")</f>
        <v>https://catalog.onliner.by/christmasdecor/neonnight/nn513061</v>
      </c>
      <c r="N243" s="42" t="str">
        <f>HYPERLINK("https://pronto.by/catalog/product/513-061.html", "https://pronto.by/catalog/product/513-061.html")</f>
        <v>https://pronto.by/catalog/product/513-061.html</v>
      </c>
    </row>
    <row r="244" spans="1:14" customFormat="1" ht="55.2">
      <c r="A244" s="35" t="s">
        <v>606</v>
      </c>
      <c r="B244" s="19" t="s">
        <v>607</v>
      </c>
      <c r="C244" s="20" t="s">
        <v>608</v>
      </c>
      <c r="D244" s="36" t="s">
        <v>28</v>
      </c>
      <c r="E244" s="37" t="s">
        <v>3282</v>
      </c>
      <c r="F244" s="43">
        <v>42.48</v>
      </c>
      <c r="G244" s="100">
        <f t="shared" si="3"/>
        <v>42.48</v>
      </c>
      <c r="H244" s="101"/>
      <c r="I244" s="100">
        <f>G244*H244</f>
        <v>0</v>
      </c>
      <c r="J244" s="39" t="s">
        <v>3336</v>
      </c>
      <c r="K244" s="40" t="s">
        <v>31</v>
      </c>
      <c r="L244" s="41"/>
      <c r="M244" s="42" t="str">
        <f>HYPERLINK("https://catalog.onliner.by/christmasdecor/neonnight/nn513063", "https://catalog.onliner.by/christmasdecor/neonnight/nn513063")</f>
        <v>https://catalog.onliner.by/christmasdecor/neonnight/nn513063</v>
      </c>
      <c r="N244" s="42" t="str">
        <f>HYPERLINK("https://pronto.by/catalog/product/513-063.html", "https://pronto.by/catalog/product/513-063.html")</f>
        <v>https://pronto.by/catalog/product/513-063.html</v>
      </c>
    </row>
    <row r="245" spans="1:14" customFormat="1" ht="62.4">
      <c r="A245" s="35" t="s">
        <v>609</v>
      </c>
      <c r="B245" s="19" t="s">
        <v>610</v>
      </c>
      <c r="C245" s="20" t="s">
        <v>611</v>
      </c>
      <c r="D245" s="36" t="s">
        <v>28</v>
      </c>
      <c r="E245" s="37" t="s">
        <v>3282</v>
      </c>
      <c r="F245" s="43">
        <v>29.340000000000003</v>
      </c>
      <c r="G245" s="100">
        <f t="shared" si="3"/>
        <v>29.34</v>
      </c>
      <c r="H245" s="101"/>
      <c r="I245" s="100">
        <f>G245*H245</f>
        <v>0</v>
      </c>
      <c r="J245" s="39" t="s">
        <v>3336</v>
      </c>
      <c r="K245" s="40" t="s">
        <v>31</v>
      </c>
      <c r="L245" s="41" t="s">
        <v>3421</v>
      </c>
      <c r="M245" s="42" t="str">
        <f>HYPERLINK("https://catalog.onliner.by/christmasdecor/neonnight/nn513064", "https://catalog.onliner.by/christmasdecor/neonnight/nn513064")</f>
        <v>https://catalog.onliner.by/christmasdecor/neonnight/nn513064</v>
      </c>
      <c r="N245" s="42" t="str">
        <f>HYPERLINK("https://pronto.by/catalog/product/513-064.html", "https://pronto.by/catalog/product/513-064.html")</f>
        <v>https://pronto.by/catalog/product/513-064.html</v>
      </c>
    </row>
    <row r="246" spans="1:14" customFormat="1" ht="69">
      <c r="A246" s="35" t="s">
        <v>612</v>
      </c>
      <c r="B246" s="19" t="s">
        <v>613</v>
      </c>
      <c r="C246" s="20" t="s">
        <v>614</v>
      </c>
      <c r="D246" s="36" t="s">
        <v>28</v>
      </c>
      <c r="E246" s="37" t="s">
        <v>3282</v>
      </c>
      <c r="F246" s="43">
        <v>29.340000000000003</v>
      </c>
      <c r="G246" s="100">
        <f t="shared" si="3"/>
        <v>29.34</v>
      </c>
      <c r="H246" s="101"/>
      <c r="I246" s="100">
        <f>G246*H246</f>
        <v>0</v>
      </c>
      <c r="J246" s="39" t="s">
        <v>3336</v>
      </c>
      <c r="K246" s="40" t="s">
        <v>31</v>
      </c>
      <c r="L246" s="41" t="s">
        <v>3422</v>
      </c>
      <c r="M246" s="42" t="str">
        <f>HYPERLINK("https://catalog.onliner.by/christmasdecor/neonnight/nn513065", "https://catalog.onliner.by/christmasdecor/neonnight/nn513065")</f>
        <v>https://catalog.onliner.by/christmasdecor/neonnight/nn513065</v>
      </c>
      <c r="N246" s="42" t="str">
        <f>HYPERLINK("https://pronto.by/catalog/product/513-065.html", "https://pronto.by/catalog/product/513-065.html")</f>
        <v>https://pronto.by/catalog/product/513-065.html</v>
      </c>
    </row>
    <row r="247" spans="1:14" customFormat="1" ht="69">
      <c r="A247" s="35" t="s">
        <v>615</v>
      </c>
      <c r="B247" s="19" t="s">
        <v>616</v>
      </c>
      <c r="C247" s="20" t="s">
        <v>617</v>
      </c>
      <c r="D247" s="36" t="s">
        <v>28</v>
      </c>
      <c r="E247" s="37" t="s">
        <v>3282</v>
      </c>
      <c r="F247" s="43">
        <v>33.54</v>
      </c>
      <c r="G247" s="100">
        <f t="shared" si="3"/>
        <v>33.54</v>
      </c>
      <c r="H247" s="101"/>
      <c r="I247" s="100">
        <f>G247*H247</f>
        <v>0</v>
      </c>
      <c r="J247" s="39" t="s">
        <v>3336</v>
      </c>
      <c r="K247" s="40" t="s">
        <v>31</v>
      </c>
      <c r="L247" s="41"/>
      <c r="M247" s="42" t="str">
        <f>HYPERLINK("https://catalog.onliner.by/christmasdecor/neonnight/nn513067", "https://catalog.onliner.by/christmasdecor/neonnight/nn513067")</f>
        <v>https://catalog.onliner.by/christmasdecor/neonnight/nn513067</v>
      </c>
      <c r="N247" s="42" t="str">
        <f>HYPERLINK("https://pronto.by/catalog/product/513-067.html", "https://pronto.by/catalog/product/513-067.html")</f>
        <v>https://pronto.by/catalog/product/513-067.html</v>
      </c>
    </row>
    <row r="248" spans="1:14" customFormat="1" ht="69">
      <c r="A248" s="35" t="s">
        <v>618</v>
      </c>
      <c r="B248" s="19" t="s">
        <v>619</v>
      </c>
      <c r="C248" s="20" t="s">
        <v>3423</v>
      </c>
      <c r="D248" s="36" t="s">
        <v>28</v>
      </c>
      <c r="E248" s="37" t="s">
        <v>3282</v>
      </c>
      <c r="F248" s="43">
        <v>33.54</v>
      </c>
      <c r="G248" s="100">
        <f t="shared" si="3"/>
        <v>33.54</v>
      </c>
      <c r="H248" s="101"/>
      <c r="I248" s="100">
        <f>G248*H248</f>
        <v>0</v>
      </c>
      <c r="J248" s="39" t="s">
        <v>3336</v>
      </c>
      <c r="K248" s="40" t="s">
        <v>31</v>
      </c>
      <c r="L248" s="41" t="s">
        <v>3424</v>
      </c>
      <c r="M248" s="42" t="str">
        <f>HYPERLINK("https://catalog.onliner.by/christmasdecor/neonnight/nn513066", "https://catalog.onliner.by/christmasdecor/neonnight/nn513066")</f>
        <v>https://catalog.onliner.by/christmasdecor/neonnight/nn513066</v>
      </c>
      <c r="N248" s="42" t="str">
        <f>HYPERLINK("https://pronto.by/catalog/product/513-066.html", "https://pronto.by/catalog/product/513-066.html")</f>
        <v>https://pronto.by/catalog/product/513-066.html</v>
      </c>
    </row>
    <row r="249" spans="1:14" customFormat="1" ht="55.2">
      <c r="A249" s="35" t="s">
        <v>620</v>
      </c>
      <c r="B249" s="19" t="s">
        <v>621</v>
      </c>
      <c r="C249" s="20" t="s">
        <v>622</v>
      </c>
      <c r="D249" s="36" t="s">
        <v>28</v>
      </c>
      <c r="E249" s="37" t="s">
        <v>3282</v>
      </c>
      <c r="F249" s="43">
        <v>54.84</v>
      </c>
      <c r="G249" s="100">
        <f t="shared" si="3"/>
        <v>54.84</v>
      </c>
      <c r="H249" s="101"/>
      <c r="I249" s="100">
        <f>G249*H249</f>
        <v>0</v>
      </c>
      <c r="J249" s="39" t="s">
        <v>3336</v>
      </c>
      <c r="K249" s="40" t="s">
        <v>41</v>
      </c>
      <c r="L249" s="41"/>
      <c r="M249" s="42" t="str">
        <f>HYPERLINK("https://catalog.onliner.by/christmasdecor/neonnight/nn513048", "https://catalog.onliner.by/christmasdecor/neonnight/nn513048")</f>
        <v>https://catalog.onliner.by/christmasdecor/neonnight/nn513048</v>
      </c>
      <c r="N249" s="42" t="str">
        <f>HYPERLINK("https://pronto.by/catalog/product/513-048.html", "https://pronto.by/catalog/product/513-048.html")</f>
        <v>https://pronto.by/catalog/product/513-048.html</v>
      </c>
    </row>
    <row r="250" spans="1:14" customFormat="1" ht="55.2">
      <c r="A250" s="35" t="s">
        <v>623</v>
      </c>
      <c r="B250" s="19" t="s">
        <v>624</v>
      </c>
      <c r="C250" s="20" t="s">
        <v>625</v>
      </c>
      <c r="D250" s="36" t="s">
        <v>28</v>
      </c>
      <c r="E250" s="37" t="s">
        <v>3282</v>
      </c>
      <c r="F250" s="43">
        <v>42.48</v>
      </c>
      <c r="G250" s="100">
        <f t="shared" si="3"/>
        <v>42.48</v>
      </c>
      <c r="H250" s="101"/>
      <c r="I250" s="100">
        <f>G250*H250</f>
        <v>0</v>
      </c>
      <c r="J250" s="39" t="s">
        <v>3336</v>
      </c>
      <c r="K250" s="40" t="s">
        <v>41</v>
      </c>
      <c r="L250" s="41"/>
      <c r="M250" s="42" t="str">
        <f>HYPERLINK("https://catalog.onliner.by/christmasdecor/neonnight/nn513047", "https://catalog.onliner.by/christmasdecor/neonnight/nn513047")</f>
        <v>https://catalog.onliner.by/christmasdecor/neonnight/nn513047</v>
      </c>
      <c r="N250" s="42" t="str">
        <f>HYPERLINK("https://pronto.by/catalog/product/513-047.html", "https://pronto.by/catalog/product/513-047.html")</f>
        <v>https://pronto.by/catalog/product/513-047.html</v>
      </c>
    </row>
    <row r="251" spans="1:14" customFormat="1" ht="62.4">
      <c r="A251" s="35" t="s">
        <v>626</v>
      </c>
      <c r="B251" s="19" t="s">
        <v>627</v>
      </c>
      <c r="C251" s="20" t="s">
        <v>628</v>
      </c>
      <c r="D251" s="36" t="s">
        <v>28</v>
      </c>
      <c r="E251" s="37" t="s">
        <v>3282</v>
      </c>
      <c r="F251" s="43">
        <v>33.54</v>
      </c>
      <c r="G251" s="100">
        <f t="shared" si="3"/>
        <v>33.54</v>
      </c>
      <c r="H251" s="101"/>
      <c r="I251" s="100">
        <f>G251*H251</f>
        <v>0</v>
      </c>
      <c r="J251" s="39" t="s">
        <v>3336</v>
      </c>
      <c r="K251" s="40" t="s">
        <v>41</v>
      </c>
      <c r="L251" s="41" t="s">
        <v>3425</v>
      </c>
      <c r="M251" s="42" t="str">
        <f>HYPERLINK("https://catalog.onliner.by/christmasdecor/neonnight/513043", "https://catalog.onliner.by/christmasdecor/neonnight/513043")</f>
        <v>https://catalog.onliner.by/christmasdecor/neonnight/513043</v>
      </c>
      <c r="N251" s="42" t="str">
        <f>HYPERLINK("https://pronto.by/catalog/product/513-043.html", "https://pronto.by/catalog/product/513-043.html")</f>
        <v>https://pronto.by/catalog/product/513-043.html</v>
      </c>
    </row>
    <row r="252" spans="1:14" customFormat="1" ht="62.4">
      <c r="A252" s="35" t="s">
        <v>629</v>
      </c>
      <c r="B252" s="19" t="s">
        <v>630</v>
      </c>
      <c r="C252" s="20" t="s">
        <v>631</v>
      </c>
      <c r="D252" s="36" t="s">
        <v>28</v>
      </c>
      <c r="E252" s="37" t="s">
        <v>3282</v>
      </c>
      <c r="F252" s="43">
        <v>29.340000000000003</v>
      </c>
      <c r="G252" s="100">
        <f t="shared" si="3"/>
        <v>29.34</v>
      </c>
      <c r="H252" s="101"/>
      <c r="I252" s="100">
        <f>G252*H252</f>
        <v>0</v>
      </c>
      <c r="J252" s="39" t="s">
        <v>3336</v>
      </c>
      <c r="K252" s="40" t="s">
        <v>41</v>
      </c>
      <c r="L252" s="41" t="s">
        <v>3426</v>
      </c>
      <c r="M252" s="42" t="str">
        <f>HYPERLINK("https://catalog.onliner.by/christmasdecor/neonnight/513054", "https://catalog.onliner.by/christmasdecor/neonnight/513054")</f>
        <v>https://catalog.onliner.by/christmasdecor/neonnight/513054</v>
      </c>
      <c r="N252" s="42" t="str">
        <f>HYPERLINK("https://pronto.by/catalog/product/513-054.html", "https://pronto.by/catalog/product/513-054.html")</f>
        <v>https://pronto.by/catalog/product/513-054.html</v>
      </c>
    </row>
    <row r="253" spans="1:14" customFormat="1" ht="55.2">
      <c r="A253" s="35" t="s">
        <v>632</v>
      </c>
      <c r="B253" s="19" t="s">
        <v>633</v>
      </c>
      <c r="C253" s="20" t="s">
        <v>634</v>
      </c>
      <c r="D253" s="36" t="s">
        <v>28</v>
      </c>
      <c r="E253" s="37" t="s">
        <v>3282</v>
      </c>
      <c r="F253" s="43">
        <v>38.22</v>
      </c>
      <c r="G253" s="100">
        <f t="shared" si="3"/>
        <v>38.22</v>
      </c>
      <c r="H253" s="101"/>
      <c r="I253" s="100">
        <f>G253*H253</f>
        <v>0</v>
      </c>
      <c r="J253" s="39" t="s">
        <v>3336</v>
      </c>
      <c r="K253" s="40" t="s">
        <v>41</v>
      </c>
      <c r="L253" s="41"/>
      <c r="M253" s="42" t="str">
        <f>HYPERLINK("https://catalog.onliner.by/christmasdecor/neonnight/513042", "https://catalog.onliner.by/christmasdecor/neonnight/513042")</f>
        <v>https://catalog.onliner.by/christmasdecor/neonnight/513042</v>
      </c>
      <c r="N253" s="42" t="str">
        <f>HYPERLINK("https://pronto.by/catalog/product/513-042.html", "https://pronto.by/catalog/product/513-042.html")</f>
        <v>https://pronto.by/catalog/product/513-042.html</v>
      </c>
    </row>
    <row r="254" spans="1:14" customFormat="1" ht="55.2">
      <c r="A254" s="35" t="s">
        <v>635</v>
      </c>
      <c r="B254" s="19" t="s">
        <v>636</v>
      </c>
      <c r="C254" s="20" t="s">
        <v>637</v>
      </c>
      <c r="D254" s="36" t="s">
        <v>28</v>
      </c>
      <c r="E254" s="37" t="s">
        <v>3292</v>
      </c>
      <c r="F254" s="43">
        <v>38.22</v>
      </c>
      <c r="G254" s="100">
        <f t="shared" si="3"/>
        <v>38.22</v>
      </c>
      <c r="H254" s="101"/>
      <c r="I254" s="100">
        <f>G254*H254</f>
        <v>0</v>
      </c>
      <c r="J254" s="39" t="s">
        <v>3336</v>
      </c>
      <c r="K254" s="40" t="s">
        <v>41</v>
      </c>
      <c r="L254" s="41"/>
      <c r="M254" s="42" t="str">
        <f>HYPERLINK("https://catalog.onliner.by/christmasdecor/neonnight/nn513046", "https://catalog.onliner.by/christmasdecor/neonnight/nn513046")</f>
        <v>https://catalog.onliner.by/christmasdecor/neonnight/nn513046</v>
      </c>
      <c r="N254" s="42" t="str">
        <f>HYPERLINK("https://pronto.by/catalog/product/513-046.html", "https://pronto.by/catalog/product/513-046.html")</f>
        <v>https://pronto.by/catalog/product/513-046.html</v>
      </c>
    </row>
    <row r="255" spans="1:14" customFormat="1" ht="81.599999999999994">
      <c r="A255" s="35" t="s">
        <v>638</v>
      </c>
      <c r="B255" s="19" t="s">
        <v>639</v>
      </c>
      <c r="C255" s="20" t="s">
        <v>640</v>
      </c>
      <c r="D255" s="36" t="s">
        <v>28</v>
      </c>
      <c r="E255" s="37" t="s">
        <v>3290</v>
      </c>
      <c r="F255" s="43">
        <v>114.6</v>
      </c>
      <c r="G255" s="100">
        <f t="shared" si="3"/>
        <v>114.6</v>
      </c>
      <c r="H255" s="101"/>
      <c r="I255" s="100">
        <f>G255*H255</f>
        <v>0</v>
      </c>
      <c r="J255" s="39" t="s">
        <v>3336</v>
      </c>
      <c r="K255" s="40" t="s">
        <v>31</v>
      </c>
      <c r="L255" s="41"/>
      <c r="M255" s="42" t="str">
        <f>HYPERLINK("https://catalog.onliner.by/xmaslights/neonnight/neon513075", "https://catalog.onliner.by/xmaslights/neonnight/neon513075")</f>
        <v>https://catalog.onliner.by/xmaslights/neonnight/neon513075</v>
      </c>
      <c r="N255" s="42" t="str">
        <f>HYPERLINK("https://pronto.by/catalog/prazdnichnaya-svetotehnika/home-konechnye-potrebiteli/figury-interernye/fonari-dekorativnye/513-075.html", "https://pronto.by/catalog/prazdnichnaya-svetotehnika/home-konechnye-potrebiteli/figury-interernye/fonari-dekorativnye/513-075.html")</f>
        <v>https://pronto.by/catalog/prazdnichnaya-svetotehnika/home-konechnye-potrebiteli/figury-interernye/fonari-dekorativnye/513-075.html</v>
      </c>
    </row>
    <row r="256" spans="1:14" customFormat="1" ht="81.599999999999994">
      <c r="A256" s="35" t="s">
        <v>641</v>
      </c>
      <c r="B256" s="19" t="s">
        <v>642</v>
      </c>
      <c r="C256" s="20" t="s">
        <v>643</v>
      </c>
      <c r="D256" s="36" t="s">
        <v>28</v>
      </c>
      <c r="E256" s="37" t="s">
        <v>3282</v>
      </c>
      <c r="F256" s="43">
        <v>25.140000000000004</v>
      </c>
      <c r="G256" s="100">
        <f t="shared" si="3"/>
        <v>25.14</v>
      </c>
      <c r="H256" s="101"/>
      <c r="I256" s="100">
        <f>G256*H256</f>
        <v>0</v>
      </c>
      <c r="J256" s="39" t="s">
        <v>3336</v>
      </c>
      <c r="K256" s="40" t="s">
        <v>41</v>
      </c>
      <c r="L256" s="41"/>
      <c r="M256" s="42" t="str">
        <f>HYPERLINK("https://catalog.onliner.by/xmaslights/neonnight/neon513059", "https://catalog.onliner.by/xmaslights/neonnight/neon513059")</f>
        <v>https://catalog.onliner.by/xmaslights/neonnight/neon513059</v>
      </c>
      <c r="N256" s="42" t="str">
        <f>HYPERLINK("https://pronto.by/catalog/prazdnichnaya-svetotehnika/home-konechnye-potrebiteli/figury-interernye/fonari-dekorativnye/513-059.html", "https://pronto.by/catalog/prazdnichnaya-svetotehnika/home-konechnye-potrebiteli/figury-interernye/fonari-dekorativnye/513-059.html")</f>
        <v>https://pronto.by/catalog/prazdnichnaya-svetotehnika/home-konechnye-potrebiteli/figury-interernye/fonari-dekorativnye/513-059.html</v>
      </c>
    </row>
    <row r="257" spans="1:14" customFormat="1" ht="55.2">
      <c r="A257" s="35" t="s">
        <v>644</v>
      </c>
      <c r="B257" s="19" t="s">
        <v>645</v>
      </c>
      <c r="C257" s="20" t="s">
        <v>646</v>
      </c>
      <c r="D257" s="36" t="s">
        <v>28</v>
      </c>
      <c r="E257" s="37" t="s">
        <v>3282</v>
      </c>
      <c r="F257" s="43">
        <v>50.580000000000005</v>
      </c>
      <c r="G257" s="100">
        <f t="shared" si="3"/>
        <v>50.58</v>
      </c>
      <c r="H257" s="101"/>
      <c r="I257" s="100">
        <f>G257*H257</f>
        <v>0</v>
      </c>
      <c r="J257" s="39" t="s">
        <v>3336</v>
      </c>
      <c r="K257" s="40" t="s">
        <v>41</v>
      </c>
      <c r="L257" s="41"/>
      <c r="M257" s="42" t="str">
        <f>HYPERLINK("https://catalog.onliner.by/christmasdecor/neonnight/513041", "https://catalog.onliner.by/christmasdecor/neonnight/513041")</f>
        <v>https://catalog.onliner.by/christmasdecor/neonnight/513041</v>
      </c>
      <c r="N257" s="42" t="str">
        <f>HYPERLINK("https://pronto.by/catalog/product/513-041.html", "https://pronto.by/catalog/product/513-041.html")</f>
        <v>https://pronto.by/catalog/product/513-041.html</v>
      </c>
    </row>
    <row r="258" spans="1:14" customFormat="1" ht="55.2">
      <c r="A258" s="35" t="s">
        <v>647</v>
      </c>
      <c r="B258" s="19" t="s">
        <v>648</v>
      </c>
      <c r="C258" s="20" t="s">
        <v>649</v>
      </c>
      <c r="D258" s="36" t="s">
        <v>28</v>
      </c>
      <c r="E258" s="37" t="s">
        <v>3282</v>
      </c>
      <c r="F258" s="43">
        <v>29.340000000000003</v>
      </c>
      <c r="G258" s="100">
        <f t="shared" si="3"/>
        <v>29.34</v>
      </c>
      <c r="H258" s="101"/>
      <c r="I258" s="100">
        <f>G258*H258</f>
        <v>0</v>
      </c>
      <c r="J258" s="39" t="s">
        <v>3336</v>
      </c>
      <c r="K258" s="40" t="s">
        <v>41</v>
      </c>
      <c r="L258" s="41"/>
      <c r="M258" s="42" t="str">
        <f>HYPERLINK("https://catalog.onliner.by/christmasdecor/neonnight/neonnight1414165", "https://catalog.onliner.by/christmasdecor/neonnight/neonnight1414165")</f>
        <v>https://catalog.onliner.by/christmasdecor/neonnight/neonnight1414165</v>
      </c>
      <c r="N258" s="42" t="str">
        <f>HYPERLINK("https://pronto.by/catalog/product/513-057.html", "https://pronto.by/catalog/product/513-057.html")</f>
        <v>https://pronto.by/catalog/product/513-057.html</v>
      </c>
    </row>
    <row r="259" spans="1:14" customFormat="1" ht="62.4">
      <c r="A259" s="35" t="s">
        <v>650</v>
      </c>
      <c r="B259" s="19" t="s">
        <v>651</v>
      </c>
      <c r="C259" s="20" t="s">
        <v>652</v>
      </c>
      <c r="D259" s="36" t="s">
        <v>28</v>
      </c>
      <c r="E259" s="37" t="s">
        <v>3282</v>
      </c>
      <c r="F259" s="43">
        <v>29.340000000000003</v>
      </c>
      <c r="G259" s="100">
        <f t="shared" si="3"/>
        <v>29.34</v>
      </c>
      <c r="H259" s="101"/>
      <c r="I259" s="100">
        <f>G259*H259</f>
        <v>0</v>
      </c>
      <c r="J259" s="39" t="s">
        <v>3336</v>
      </c>
      <c r="K259" s="40" t="s">
        <v>41</v>
      </c>
      <c r="L259" s="41" t="s">
        <v>3427</v>
      </c>
      <c r="M259" s="42" t="str">
        <f>HYPERLINK("https://catalog.onliner.by/christmasdecor/neonnight/513055", "https://catalog.onliner.by/christmasdecor/neonnight/513055")</f>
        <v>https://catalog.onliner.by/christmasdecor/neonnight/513055</v>
      </c>
      <c r="N259" s="42" t="str">
        <f>HYPERLINK("https://pronto.by/catalog/product/513-055.html", "https://pronto.by/catalog/product/513-055.html")</f>
        <v>https://pronto.by/catalog/product/513-055.html</v>
      </c>
    </row>
    <row r="260" spans="1:14" customFormat="1" ht="62.4">
      <c r="A260" s="35" t="s">
        <v>653</v>
      </c>
      <c r="B260" s="19" t="s">
        <v>654</v>
      </c>
      <c r="C260" s="20" t="s">
        <v>655</v>
      </c>
      <c r="D260" s="36" t="s">
        <v>28</v>
      </c>
      <c r="E260" s="37" t="s">
        <v>3282</v>
      </c>
      <c r="F260" s="43">
        <v>23.46</v>
      </c>
      <c r="G260" s="100">
        <f t="shared" si="3"/>
        <v>23.46</v>
      </c>
      <c r="H260" s="101"/>
      <c r="I260" s="100">
        <f>G260*H260</f>
        <v>0</v>
      </c>
      <c r="J260" s="39" t="s">
        <v>3336</v>
      </c>
      <c r="K260" s="40" t="s">
        <v>41</v>
      </c>
      <c r="L260" s="41" t="s">
        <v>3428</v>
      </c>
      <c r="M260" s="42" t="str">
        <f>HYPERLINK("https://catalog.onliner.by/christmasdecor/neonnight/513051", "https://catalog.onliner.by/christmasdecor/neonnight/513051")</f>
        <v>https://catalog.onliner.by/christmasdecor/neonnight/513051</v>
      </c>
      <c r="N260" s="42" t="str">
        <f>HYPERLINK("https://pronto.by/catalog/product/513-051.html", "https://pronto.by/catalog/product/513-051.html")</f>
        <v>https://pronto.by/catalog/product/513-051.html</v>
      </c>
    </row>
    <row r="261" spans="1:14" customFormat="1" ht="55.2">
      <c r="A261" s="35" t="s">
        <v>656</v>
      </c>
      <c r="B261" s="19" t="s">
        <v>657</v>
      </c>
      <c r="C261" s="20" t="s">
        <v>658</v>
      </c>
      <c r="D261" s="36" t="s">
        <v>28</v>
      </c>
      <c r="E261" s="37" t="s">
        <v>3292</v>
      </c>
      <c r="F261" s="43">
        <v>38.22</v>
      </c>
      <c r="G261" s="100">
        <f t="shared" si="3"/>
        <v>38.22</v>
      </c>
      <c r="H261" s="101"/>
      <c r="I261" s="100">
        <f>G261*H261</f>
        <v>0</v>
      </c>
      <c r="J261" s="39" t="s">
        <v>3336</v>
      </c>
      <c r="K261" s="40" t="s">
        <v>31</v>
      </c>
      <c r="L261" s="41"/>
      <c r="M261" s="42" t="str">
        <f>HYPERLINK("https://catalog.onliner.by/christmasdecor/neonnight/nn513045", "https://catalog.onliner.by/christmasdecor/neonnight/nn513045")</f>
        <v>https://catalog.onliner.by/christmasdecor/neonnight/nn513045</v>
      </c>
      <c r="N261" s="42" t="str">
        <f>HYPERLINK("https://pronto.by/catalog/product/513-045.html", "https://pronto.by/catalog/product/513-045.html")</f>
        <v>https://pronto.by/catalog/product/513-045.html</v>
      </c>
    </row>
    <row r="262" spans="1:14" customFormat="1" ht="82.8">
      <c r="A262" s="53" t="s">
        <v>3429</v>
      </c>
      <c r="B262" s="19" t="s">
        <v>3430</v>
      </c>
      <c r="C262" s="20" t="s">
        <v>3431</v>
      </c>
      <c r="D262" s="36" t="s">
        <v>28</v>
      </c>
      <c r="E262" s="37" t="s">
        <v>3290</v>
      </c>
      <c r="F262" s="43">
        <v>10.02</v>
      </c>
      <c r="G262" s="100">
        <f t="shared" si="3"/>
        <v>10.02</v>
      </c>
      <c r="H262" s="101"/>
      <c r="I262" s="100">
        <f>G262*H262</f>
        <v>0</v>
      </c>
      <c r="J262" s="39" t="s">
        <v>3336</v>
      </c>
      <c r="K262" s="40"/>
      <c r="L262" s="41"/>
      <c r="M262" s="44"/>
      <c r="N262" s="44"/>
    </row>
    <row r="263" spans="1:14" customFormat="1" ht="69">
      <c r="A263" s="53" t="s">
        <v>3432</v>
      </c>
      <c r="B263" s="19" t="s">
        <v>3433</v>
      </c>
      <c r="C263" s="20" t="s">
        <v>3434</v>
      </c>
      <c r="D263" s="36" t="s">
        <v>28</v>
      </c>
      <c r="E263" s="37" t="s">
        <v>3290</v>
      </c>
      <c r="F263" s="43">
        <v>8.34</v>
      </c>
      <c r="G263" s="100">
        <f t="shared" si="3"/>
        <v>8.34</v>
      </c>
      <c r="H263" s="101"/>
      <c r="I263" s="100">
        <f>G263*H263</f>
        <v>0</v>
      </c>
      <c r="J263" s="39" t="s">
        <v>3336</v>
      </c>
      <c r="K263" s="40"/>
      <c r="L263" s="41"/>
      <c r="M263" s="44"/>
      <c r="N263" s="44"/>
    </row>
    <row r="264" spans="1:14" customFormat="1" ht="41.4">
      <c r="A264" s="53" t="s">
        <v>3435</v>
      </c>
      <c r="B264" s="19" t="s">
        <v>3436</v>
      </c>
      <c r="C264" s="20" t="s">
        <v>3437</v>
      </c>
      <c r="D264" s="36" t="s">
        <v>28</v>
      </c>
      <c r="E264" s="37" t="s">
        <v>3290</v>
      </c>
      <c r="F264" s="43">
        <v>41.58</v>
      </c>
      <c r="G264" s="100">
        <f t="shared" si="3"/>
        <v>41.58</v>
      </c>
      <c r="H264" s="101"/>
      <c r="I264" s="100">
        <f>G264*H264</f>
        <v>0</v>
      </c>
      <c r="J264" s="39" t="s">
        <v>3336</v>
      </c>
      <c r="K264" s="40"/>
      <c r="L264" s="41"/>
      <c r="M264" s="44"/>
      <c r="N264" s="44"/>
    </row>
    <row r="265" spans="1:14" customFormat="1" ht="81.599999999999994">
      <c r="A265" s="35" t="s">
        <v>659</v>
      </c>
      <c r="B265" s="19" t="s">
        <v>660</v>
      </c>
      <c r="C265" s="20" t="s">
        <v>661</v>
      </c>
      <c r="D265" s="36" t="s">
        <v>28</v>
      </c>
      <c r="E265" s="37" t="s">
        <v>3290</v>
      </c>
      <c r="F265" s="43">
        <v>114.6</v>
      </c>
      <c r="G265" s="100">
        <f t="shared" si="3"/>
        <v>114.6</v>
      </c>
      <c r="H265" s="101"/>
      <c r="I265" s="100">
        <f>G265*H265</f>
        <v>0</v>
      </c>
      <c r="J265" s="39" t="s">
        <v>3336</v>
      </c>
      <c r="K265" s="40" t="s">
        <v>31</v>
      </c>
      <c r="L265" s="41"/>
      <c r="M265" s="42" t="s">
        <v>662</v>
      </c>
      <c r="N265" s="42" t="str">
        <f>HYPERLINK("https://pronto.by/catalog/prazdnichnaya-svetotehnika/home-konechnye-potrebiteli/figury-interernye/fonari-dekorativnye/513-071.html", "https://pronto.by/catalog/prazdnichnaya-svetotehnika/home-konechnye-potrebiteli/figury-interernye/fonari-dekorativnye/513-071.html")</f>
        <v>https://pronto.by/catalog/prazdnichnaya-svetotehnika/home-konechnye-potrebiteli/figury-interernye/fonari-dekorativnye/513-071.html</v>
      </c>
    </row>
    <row r="266" spans="1:14" customFormat="1" ht="55.2">
      <c r="A266" s="53" t="s">
        <v>3438</v>
      </c>
      <c r="B266" s="19" t="s">
        <v>3439</v>
      </c>
      <c r="C266" s="20" t="s">
        <v>3440</v>
      </c>
      <c r="D266" s="36" t="s">
        <v>28</v>
      </c>
      <c r="E266" s="37" t="s">
        <v>3290</v>
      </c>
      <c r="F266" s="43">
        <v>114.6</v>
      </c>
      <c r="G266" s="100">
        <f t="shared" si="3"/>
        <v>114.6</v>
      </c>
      <c r="H266" s="101"/>
      <c r="I266" s="100">
        <f>G266*H266</f>
        <v>0</v>
      </c>
      <c r="J266" s="39" t="s">
        <v>3336</v>
      </c>
      <c r="K266" s="40"/>
      <c r="L266" s="41"/>
      <c r="M266" s="44"/>
      <c r="N266" s="44"/>
    </row>
    <row r="267" spans="1:14" customFormat="1" ht="55.2">
      <c r="A267" s="53" t="s">
        <v>3441</v>
      </c>
      <c r="B267" s="19" t="s">
        <v>3442</v>
      </c>
      <c r="C267" s="20" t="s">
        <v>3443</v>
      </c>
      <c r="D267" s="36" t="s">
        <v>28</v>
      </c>
      <c r="E267" s="37" t="s">
        <v>3290</v>
      </c>
      <c r="F267" s="43">
        <v>114.6</v>
      </c>
      <c r="G267" s="100">
        <f t="shared" si="3"/>
        <v>114.6</v>
      </c>
      <c r="H267" s="101"/>
      <c r="I267" s="100">
        <f>G267*H267</f>
        <v>0</v>
      </c>
      <c r="J267" s="39" t="s">
        <v>3336</v>
      </c>
      <c r="K267" s="40"/>
      <c r="L267" s="41"/>
      <c r="M267" s="44"/>
      <c r="N267" s="44"/>
    </row>
    <row r="268" spans="1:14" customFormat="1" ht="82.8">
      <c r="A268" s="53" t="s">
        <v>3444</v>
      </c>
      <c r="B268" s="19" t="s">
        <v>3445</v>
      </c>
      <c r="C268" s="20" t="s">
        <v>3446</v>
      </c>
      <c r="D268" s="36" t="s">
        <v>28</v>
      </c>
      <c r="E268" s="37"/>
      <c r="F268" s="43">
        <v>20.099999999999998</v>
      </c>
      <c r="G268" s="100">
        <f t="shared" si="3"/>
        <v>20.100000000000001</v>
      </c>
      <c r="H268" s="101"/>
      <c r="I268" s="100">
        <f>G268*H268</f>
        <v>0</v>
      </c>
      <c r="J268" s="39" t="s">
        <v>3336</v>
      </c>
      <c r="K268" s="40"/>
      <c r="L268" s="41"/>
      <c r="M268" s="44"/>
      <c r="N268" s="44"/>
    </row>
    <row r="269" spans="1:14" customFormat="1" ht="15.6">
      <c r="A269" s="80" t="s">
        <v>3447</v>
      </c>
      <c r="B269" s="67"/>
      <c r="C269" s="67"/>
      <c r="D269" s="32"/>
      <c r="E269" s="32"/>
      <c r="F269" s="32"/>
      <c r="G269" s="52"/>
      <c r="H269" s="52"/>
      <c r="I269" s="52"/>
      <c r="J269" s="32"/>
      <c r="K269" s="32"/>
      <c r="L269" s="33"/>
      <c r="M269" s="33"/>
      <c r="N269" s="34"/>
    </row>
    <row r="270" spans="1:14" customFormat="1" ht="62.4">
      <c r="A270" s="35" t="s">
        <v>663</v>
      </c>
      <c r="B270" s="19" t="s">
        <v>664</v>
      </c>
      <c r="C270" s="20" t="s">
        <v>665</v>
      </c>
      <c r="D270" s="36" t="s">
        <v>28</v>
      </c>
      <c r="E270" s="37" t="s">
        <v>3282</v>
      </c>
      <c r="F270" s="43">
        <v>42.48</v>
      </c>
      <c r="G270" s="100">
        <f t="shared" si="3"/>
        <v>42.48</v>
      </c>
      <c r="H270" s="101"/>
      <c r="I270" s="100">
        <f>G270*H270</f>
        <v>0</v>
      </c>
      <c r="J270" s="39" t="s">
        <v>3336</v>
      </c>
      <c r="K270" s="40" t="s">
        <v>31</v>
      </c>
      <c r="L270" s="41" t="s">
        <v>3448</v>
      </c>
      <c r="M270" s="42" t="str">
        <f>HYPERLINK("https://catalog.onliner.by/christmasdecor/neonnight/nn511036", "https://catalog.onliner.by/christmasdecor/neonnight/nn511036")</f>
        <v>https://catalog.onliner.by/christmasdecor/neonnight/nn511036</v>
      </c>
      <c r="N270" s="42" t="str">
        <f>HYPERLINK("https://pronto.by/catalog/product/511-036.html", "https://pronto.by/catalog/product/511-036.html")</f>
        <v>https://pronto.by/catalog/product/511-036.html</v>
      </c>
    </row>
    <row r="271" spans="1:14" customFormat="1" ht="62.4">
      <c r="A271" s="35" t="s">
        <v>666</v>
      </c>
      <c r="B271" s="19" t="s">
        <v>667</v>
      </c>
      <c r="C271" s="20" t="s">
        <v>668</v>
      </c>
      <c r="D271" s="36" t="s">
        <v>28</v>
      </c>
      <c r="E271" s="37" t="s">
        <v>3290</v>
      </c>
      <c r="F271" s="43">
        <v>64.98</v>
      </c>
      <c r="G271" s="100">
        <f t="shared" ref="G271:G334" si="4">ROUND(F271-F271*G$3,2)</f>
        <v>64.98</v>
      </c>
      <c r="H271" s="101"/>
      <c r="I271" s="100">
        <f>G271*H271</f>
        <v>0</v>
      </c>
      <c r="J271" s="39" t="s">
        <v>3336</v>
      </c>
      <c r="K271" s="40" t="s">
        <v>31</v>
      </c>
      <c r="L271" s="41" t="s">
        <v>3449</v>
      </c>
      <c r="M271" s="42" t="str">
        <f>HYPERLINK("https://catalog.onliner.by/christmasdecor/neonnight/nn511037", "https://catalog.onliner.by/christmasdecor/neonnight/nn511037")</f>
        <v>https://catalog.onliner.by/christmasdecor/neonnight/nn511037</v>
      </c>
      <c r="N271" s="42" t="str">
        <f>HYPERLINK("https://pronto.by/catalog/product/511-037.html", "https://pronto.by/catalog/product/511-037.html")</f>
        <v>https://pronto.by/catalog/product/511-037.html</v>
      </c>
    </row>
    <row r="272" spans="1:14" customFormat="1" ht="81.599999999999994">
      <c r="A272" s="35" t="s">
        <v>669</v>
      </c>
      <c r="B272" s="19" t="s">
        <v>670</v>
      </c>
      <c r="C272" s="20" t="s">
        <v>671</v>
      </c>
      <c r="D272" s="36" t="s">
        <v>28</v>
      </c>
      <c r="E272" s="37" t="s">
        <v>3282</v>
      </c>
      <c r="F272" s="43">
        <v>54.84</v>
      </c>
      <c r="G272" s="100">
        <f t="shared" si="4"/>
        <v>54.84</v>
      </c>
      <c r="H272" s="101"/>
      <c r="I272" s="100">
        <f>G272*H272</f>
        <v>0</v>
      </c>
      <c r="J272" s="39" t="s">
        <v>3336</v>
      </c>
      <c r="K272" s="40" t="s">
        <v>41</v>
      </c>
      <c r="L272" s="41"/>
      <c r="M272" s="42" t="s">
        <v>672</v>
      </c>
      <c r="N272" s="42" t="str">
        <f>HYPERLINK("https://pronto.by/catalog/prazdnichnaya-svetotehnika/home-konechnye-potrebiteli/figury-interernye/kaminy-svetodiodnye/511-029.html", "https://pronto.by/catalog/prazdnichnaya-svetotehnika/home-konechnye-potrebiteli/figury-interernye/kaminy-svetodiodnye/511-029.html")</f>
        <v>https://pronto.by/catalog/prazdnichnaya-svetotehnika/home-konechnye-potrebiteli/figury-interernye/kaminy-svetodiodnye/511-029.html</v>
      </c>
    </row>
    <row r="273" spans="1:14" customFormat="1" ht="82.8">
      <c r="A273" s="35" t="s">
        <v>673</v>
      </c>
      <c r="B273" s="19" t="s">
        <v>674</v>
      </c>
      <c r="C273" s="20" t="s">
        <v>675</v>
      </c>
      <c r="D273" s="36" t="s">
        <v>28</v>
      </c>
      <c r="E273" s="37" t="s">
        <v>3304</v>
      </c>
      <c r="F273" s="43">
        <v>298.62</v>
      </c>
      <c r="G273" s="100">
        <f t="shared" si="4"/>
        <v>298.62</v>
      </c>
      <c r="H273" s="101"/>
      <c r="I273" s="100">
        <f>G273*H273</f>
        <v>0</v>
      </c>
      <c r="J273" s="39" t="s">
        <v>3336</v>
      </c>
      <c r="K273" s="40" t="s">
        <v>41</v>
      </c>
      <c r="L273" s="41"/>
      <c r="M273" s="42" t="s">
        <v>676</v>
      </c>
      <c r="N273" s="42" t="str">
        <f>HYPERLINK("https://pronto.by/catalog/prazdnichnaya-svetotehnika/home-konechnye-potrebiteli/figury-interernye/kaminy-svetodiodnye/511-024.html", "https://pronto.by/catalog/prazdnichnaya-svetotehnika/home-konechnye-potrebiteli/figury-interernye/kaminy-svetodiodnye/511-024.html")</f>
        <v>https://pronto.by/catalog/prazdnichnaya-svetotehnika/home-konechnye-potrebiteli/figury-interernye/kaminy-svetodiodnye/511-024.html</v>
      </c>
    </row>
    <row r="274" spans="1:14" customFormat="1" ht="82.8">
      <c r="A274" s="35" t="s">
        <v>677</v>
      </c>
      <c r="B274" s="19" t="s">
        <v>678</v>
      </c>
      <c r="C274" s="20" t="s">
        <v>679</v>
      </c>
      <c r="D274" s="36" t="s">
        <v>28</v>
      </c>
      <c r="E274" s="37" t="s">
        <v>3290</v>
      </c>
      <c r="F274" s="43">
        <v>229.68</v>
      </c>
      <c r="G274" s="100">
        <f t="shared" si="4"/>
        <v>229.68</v>
      </c>
      <c r="H274" s="101"/>
      <c r="I274" s="100">
        <f>G274*H274</f>
        <v>0</v>
      </c>
      <c r="J274" s="39" t="s">
        <v>3336</v>
      </c>
      <c r="K274" s="40" t="s">
        <v>41</v>
      </c>
      <c r="L274" s="41"/>
      <c r="M274" s="42" t="s">
        <v>680</v>
      </c>
      <c r="N274" s="42" t="str">
        <f>HYPERLINK("https://pronto.by/catalog/prazdnichnaya-svetotehnika/home-konechnye-potrebiteli/figury-interernye/kaminy-svetodiodnye/511-002.html", "https://pronto.by/catalog/prazdnichnaya-svetotehnika/home-konechnye-potrebiteli/figury-interernye/kaminy-svetodiodnye/511-002.html")</f>
        <v>https://pronto.by/catalog/prazdnichnaya-svetotehnika/home-konechnye-potrebiteli/figury-interernye/kaminy-svetodiodnye/511-002.html</v>
      </c>
    </row>
    <row r="275" spans="1:14" customFormat="1" ht="62.4">
      <c r="A275" s="35" t="s">
        <v>681</v>
      </c>
      <c r="B275" s="19" t="s">
        <v>682</v>
      </c>
      <c r="C275" s="20" t="s">
        <v>683</v>
      </c>
      <c r="D275" s="36" t="s">
        <v>28</v>
      </c>
      <c r="E275" s="37" t="s">
        <v>3277</v>
      </c>
      <c r="F275" s="43">
        <v>33.54</v>
      </c>
      <c r="G275" s="100">
        <f t="shared" si="4"/>
        <v>33.54</v>
      </c>
      <c r="H275" s="101"/>
      <c r="I275" s="100">
        <f>G275*H275</f>
        <v>0</v>
      </c>
      <c r="J275" s="39" t="s">
        <v>3336</v>
      </c>
      <c r="K275" s="40" t="s">
        <v>31</v>
      </c>
      <c r="L275" s="41" t="s">
        <v>3450</v>
      </c>
      <c r="M275" s="42" t="str">
        <f>HYPERLINK("https://catalog.onliner.by/christmasdecor/neonnight/nn511035", "https://catalog.onliner.by/christmasdecor/neonnight/nn511035")</f>
        <v>https://catalog.onliner.by/christmasdecor/neonnight/nn511035</v>
      </c>
      <c r="N275" s="42" t="str">
        <f>HYPERLINK("https://pronto.by/catalog/product/511-035.html", "https://pronto.by/catalog/product/511-035.html")</f>
        <v>https://pronto.by/catalog/product/511-035.html</v>
      </c>
    </row>
    <row r="276" spans="1:14" customFormat="1" ht="69">
      <c r="A276" s="35" t="s">
        <v>684</v>
      </c>
      <c r="B276" s="19" t="s">
        <v>685</v>
      </c>
      <c r="C276" s="20" t="s">
        <v>686</v>
      </c>
      <c r="D276" s="36" t="s">
        <v>28</v>
      </c>
      <c r="E276" s="37" t="s">
        <v>3292</v>
      </c>
      <c r="F276" s="43">
        <v>114.6</v>
      </c>
      <c r="G276" s="100">
        <f t="shared" si="4"/>
        <v>114.6</v>
      </c>
      <c r="H276" s="101"/>
      <c r="I276" s="100">
        <f>G276*H276</f>
        <v>0</v>
      </c>
      <c r="J276" s="39" t="s">
        <v>3336</v>
      </c>
      <c r="K276" s="40" t="s">
        <v>41</v>
      </c>
      <c r="L276" s="41"/>
      <c r="M276" s="42" t="str">
        <f>HYPERLINK("https://catalog.onliner.by/christmasdecor/neonnight/5110041", "https://catalog.onliner.by/christmasdecor/neonnight/5110041")</f>
        <v>https://catalog.onliner.by/christmasdecor/neonnight/5110041</v>
      </c>
      <c r="N276" s="42" t="str">
        <f>HYPERLINK("https://pronto.by/catalog/product/511-004.html", "https://pronto.by/catalog/product/511-004.html")</f>
        <v>https://pronto.by/catalog/product/511-004.html</v>
      </c>
    </row>
    <row r="277" spans="1:14" customFormat="1" ht="69">
      <c r="A277" s="35" t="s">
        <v>687</v>
      </c>
      <c r="B277" s="19" t="s">
        <v>688</v>
      </c>
      <c r="C277" s="20" t="s">
        <v>689</v>
      </c>
      <c r="D277" s="36" t="s">
        <v>28</v>
      </c>
      <c r="E277" s="37" t="s">
        <v>3290</v>
      </c>
      <c r="F277" s="43">
        <v>86.820000000000007</v>
      </c>
      <c r="G277" s="100">
        <f t="shared" si="4"/>
        <v>86.82</v>
      </c>
      <c r="H277" s="101"/>
      <c r="I277" s="100">
        <f>G277*H277</f>
        <v>0</v>
      </c>
      <c r="J277" s="39" t="s">
        <v>3336</v>
      </c>
      <c r="K277" s="40" t="s">
        <v>41</v>
      </c>
      <c r="L277" s="41"/>
      <c r="M277" s="42" t="str">
        <f>HYPERLINK("https://catalog.onliner.by/christmasdecor/neonnight/511023", "https://catalog.onliner.by/christmasdecor/neonnight/511023")</f>
        <v>https://catalog.onliner.by/christmasdecor/neonnight/511023</v>
      </c>
      <c r="N277" s="42" t="str">
        <f>HYPERLINK("https://pronto.by/catalog/product/511-023.html", "https://pronto.by/catalog/product/511-023.html")</f>
        <v>https://pronto.by/catalog/product/511-023.html</v>
      </c>
    </row>
    <row r="278" spans="1:14" customFormat="1" ht="55.2">
      <c r="A278" s="35" t="s">
        <v>690</v>
      </c>
      <c r="B278" s="19" t="s">
        <v>691</v>
      </c>
      <c r="C278" s="20" t="s">
        <v>692</v>
      </c>
      <c r="D278" s="36" t="s">
        <v>28</v>
      </c>
      <c r="E278" s="37" t="s">
        <v>3290</v>
      </c>
      <c r="F278" s="43">
        <v>82.44</v>
      </c>
      <c r="G278" s="100">
        <f t="shared" si="4"/>
        <v>82.44</v>
      </c>
      <c r="H278" s="101"/>
      <c r="I278" s="100">
        <f>G278*H278</f>
        <v>0</v>
      </c>
      <c r="J278" s="39" t="s">
        <v>3336</v>
      </c>
      <c r="K278" s="40" t="s">
        <v>41</v>
      </c>
      <c r="L278" s="41"/>
      <c r="M278" s="42" t="str">
        <f>HYPERLINK("https://catalog.onliner.by/christmasdecor/neonnight/511022", "https://catalog.onliner.by/christmasdecor/neonnight/511022")</f>
        <v>https://catalog.onliner.by/christmasdecor/neonnight/511022</v>
      </c>
      <c r="N278" s="42" t="str">
        <f>HYPERLINK("https://pronto.by/catalog/product/511-022.html", "https://pronto.by/catalog/product/511-022.html")</f>
        <v>https://pronto.by/catalog/product/511-022.html</v>
      </c>
    </row>
    <row r="279" spans="1:14" customFormat="1" ht="69">
      <c r="A279" s="35" t="s">
        <v>693</v>
      </c>
      <c r="B279" s="19" t="s">
        <v>694</v>
      </c>
      <c r="C279" s="20" t="s">
        <v>695</v>
      </c>
      <c r="D279" s="36" t="s">
        <v>28</v>
      </c>
      <c r="E279" s="37" t="s">
        <v>3290</v>
      </c>
      <c r="F279" s="43">
        <v>160.61999999999998</v>
      </c>
      <c r="G279" s="100">
        <f t="shared" si="4"/>
        <v>160.62</v>
      </c>
      <c r="H279" s="101"/>
      <c r="I279" s="100">
        <f>G279*H279</f>
        <v>0</v>
      </c>
      <c r="J279" s="39" t="s">
        <v>3336</v>
      </c>
      <c r="K279" s="40" t="s">
        <v>41</v>
      </c>
      <c r="L279" s="41" t="s">
        <v>3451</v>
      </c>
      <c r="M279" s="42" t="str">
        <f>HYPERLINK("https://catalog.onliner.by/christmasdecor/neonnight/nn511032", "https://catalog.onliner.by/christmasdecor/neonnight/nn511032")</f>
        <v>https://catalog.onliner.by/christmasdecor/neonnight/nn511032</v>
      </c>
      <c r="N279" s="42" t="str">
        <f>HYPERLINK("https://pronto.by/catalog/product/511-032.html", "https://pronto.by/catalog/product/511-032.html")</f>
        <v>https://pronto.by/catalog/product/511-032.html</v>
      </c>
    </row>
    <row r="280" spans="1:14" customFormat="1" ht="55.2">
      <c r="A280" s="35" t="s">
        <v>696</v>
      </c>
      <c r="B280" s="19" t="s">
        <v>697</v>
      </c>
      <c r="C280" s="20" t="s">
        <v>698</v>
      </c>
      <c r="D280" s="36" t="s">
        <v>28</v>
      </c>
      <c r="E280" s="37" t="s">
        <v>3282</v>
      </c>
      <c r="F280" s="43">
        <v>33.54</v>
      </c>
      <c r="G280" s="100">
        <f t="shared" si="4"/>
        <v>33.54</v>
      </c>
      <c r="H280" s="101"/>
      <c r="I280" s="100">
        <f>G280*H280</f>
        <v>0</v>
      </c>
      <c r="J280" s="39" t="s">
        <v>3336</v>
      </c>
      <c r="K280" s="40" t="s">
        <v>41</v>
      </c>
      <c r="L280" s="41"/>
      <c r="M280" s="42" t="str">
        <f>HYPERLINK("https://catalog.onliner.by/christmasdecor/neonnight/nn511026", "https://catalog.onliner.by/christmasdecor/neonnight/nn511026")</f>
        <v>https://catalog.onliner.by/christmasdecor/neonnight/nn511026</v>
      </c>
      <c r="N280" s="42" t="str">
        <f>HYPERLINK("https://pronto.by/catalog/product/511-026.html", "https://pronto.by/catalog/product/511-026.html")</f>
        <v>https://pronto.by/catalog/product/511-026.html</v>
      </c>
    </row>
    <row r="281" spans="1:14" customFormat="1" ht="62.4">
      <c r="A281" s="35" t="s">
        <v>699</v>
      </c>
      <c r="B281" s="19" t="s">
        <v>700</v>
      </c>
      <c r="C281" s="20" t="s">
        <v>701</v>
      </c>
      <c r="D281" s="36" t="s">
        <v>28</v>
      </c>
      <c r="E281" s="37" t="s">
        <v>3282</v>
      </c>
      <c r="F281" s="43">
        <v>42.48</v>
      </c>
      <c r="G281" s="100">
        <f t="shared" si="4"/>
        <v>42.48</v>
      </c>
      <c r="H281" s="101"/>
      <c r="I281" s="100">
        <f>G281*H281</f>
        <v>0</v>
      </c>
      <c r="J281" s="39" t="s">
        <v>3336</v>
      </c>
      <c r="K281" s="40" t="s">
        <v>41</v>
      </c>
      <c r="L281" s="41" t="s">
        <v>3452</v>
      </c>
      <c r="M281" s="42" t="str">
        <f>HYPERLINK("https://catalog.onliner.by/christmasdecor/neonnight/nn511031", "https://catalog.onliner.by/christmasdecor/neonnight/nn511031")</f>
        <v>https://catalog.onliner.by/christmasdecor/neonnight/nn511031</v>
      </c>
      <c r="N281" s="42" t="str">
        <f>HYPERLINK("https://pronto.by/catalog/product/511-031.html", "https://pronto.by/catalog/product/511-031.html")</f>
        <v>https://pronto.by/catalog/product/511-031.html</v>
      </c>
    </row>
    <row r="282" spans="1:14" customFormat="1" ht="69">
      <c r="A282" s="35" t="s">
        <v>702</v>
      </c>
      <c r="B282" s="19" t="s">
        <v>703</v>
      </c>
      <c r="C282" s="20" t="s">
        <v>704</v>
      </c>
      <c r="D282" s="36" t="s">
        <v>28</v>
      </c>
      <c r="E282" s="37" t="s">
        <v>3295</v>
      </c>
      <c r="F282" s="43">
        <v>95.52000000000001</v>
      </c>
      <c r="G282" s="100">
        <f t="shared" si="4"/>
        <v>95.52</v>
      </c>
      <c r="H282" s="101"/>
      <c r="I282" s="100">
        <f>G282*H282</f>
        <v>0</v>
      </c>
      <c r="J282" s="39" t="s">
        <v>3336</v>
      </c>
      <c r="K282" s="40" t="s">
        <v>41</v>
      </c>
      <c r="L282" s="41" t="s">
        <v>3453</v>
      </c>
      <c r="M282" s="42" t="str">
        <f>HYPERLINK("https://catalog.onliner.by/christmasdecor/neonnight/nn511030", "https://catalog.onliner.by/christmasdecor/neonnight/nn511030")</f>
        <v>https://catalog.onliner.by/christmasdecor/neonnight/nn511030</v>
      </c>
      <c r="N282" s="42" t="str">
        <f>HYPERLINK("https://pronto.by/catalog/product/511-030.html", "https://pronto.by/catalog/product/511-030.html")</f>
        <v>https://pronto.by/catalog/product/511-030.html</v>
      </c>
    </row>
    <row r="283" spans="1:14" customFormat="1" ht="69">
      <c r="A283" s="35" t="s">
        <v>705</v>
      </c>
      <c r="B283" s="19" t="s">
        <v>706</v>
      </c>
      <c r="C283" s="20" t="s">
        <v>707</v>
      </c>
      <c r="D283" s="36" t="s">
        <v>28</v>
      </c>
      <c r="E283" s="37" t="s">
        <v>3290</v>
      </c>
      <c r="F283" s="43">
        <v>137.58000000000001</v>
      </c>
      <c r="G283" s="100">
        <f t="shared" si="4"/>
        <v>137.58000000000001</v>
      </c>
      <c r="H283" s="101"/>
      <c r="I283" s="100">
        <f>G283*H283</f>
        <v>0</v>
      </c>
      <c r="J283" s="39" t="s">
        <v>3336</v>
      </c>
      <c r="K283" s="40" t="s">
        <v>31</v>
      </c>
      <c r="L283" s="41" t="s">
        <v>3454</v>
      </c>
      <c r="M283" s="42" t="str">
        <f>HYPERLINK("https://catalog.onliner.by/christmasdecor/neonnight/nn513038", "https://catalog.onliner.by/christmasdecor/neonnight/nn513038")</f>
        <v>https://catalog.onliner.by/christmasdecor/neonnight/nn513038</v>
      </c>
      <c r="N283" s="42" t="str">
        <f>HYPERLINK("https://pronto.by/catalog/product/513-038.html", "https://pronto.by/catalog/product/513-038.html")</f>
        <v>https://pronto.by/catalog/product/513-038.html</v>
      </c>
    </row>
    <row r="284" spans="1:14" customFormat="1" ht="62.4">
      <c r="A284" s="35" t="s">
        <v>708</v>
      </c>
      <c r="B284" s="19" t="s">
        <v>709</v>
      </c>
      <c r="C284" s="20" t="s">
        <v>710</v>
      </c>
      <c r="D284" s="36" t="s">
        <v>28</v>
      </c>
      <c r="E284" s="37" t="s">
        <v>3292</v>
      </c>
      <c r="F284" s="43">
        <v>78.12</v>
      </c>
      <c r="G284" s="100">
        <f t="shared" si="4"/>
        <v>78.12</v>
      </c>
      <c r="H284" s="101"/>
      <c r="I284" s="100">
        <f>G284*H284</f>
        <v>0</v>
      </c>
      <c r="J284" s="39" t="s">
        <v>3336</v>
      </c>
      <c r="K284" s="40" t="s">
        <v>41</v>
      </c>
      <c r="L284" s="41" t="s">
        <v>3455</v>
      </c>
      <c r="M284" s="42" t="str">
        <f>HYPERLINK("https://catalog.onliner.by/christmasdecor/neonnight/nn511034", "https://catalog.onliner.by/christmasdecor/neonnight/nn511034")</f>
        <v>https://catalog.onliner.by/christmasdecor/neonnight/nn511034</v>
      </c>
      <c r="N284" s="42" t="str">
        <f>HYPERLINK("https://pronto.by/catalog/product/511-034.html", "https://pronto.by/catalog/product/511-034.html")</f>
        <v>https://pronto.by/catalog/product/511-034.html</v>
      </c>
    </row>
    <row r="285" spans="1:14" customFormat="1" ht="81.599999999999994">
      <c r="A285" s="35" t="s">
        <v>711</v>
      </c>
      <c r="B285" s="19" t="s">
        <v>712</v>
      </c>
      <c r="C285" s="20" t="s">
        <v>713</v>
      </c>
      <c r="D285" s="36" t="s">
        <v>28</v>
      </c>
      <c r="E285" s="37" t="s">
        <v>3280</v>
      </c>
      <c r="F285" s="43">
        <v>54.84</v>
      </c>
      <c r="G285" s="100">
        <f t="shared" si="4"/>
        <v>54.84</v>
      </c>
      <c r="H285" s="101"/>
      <c r="I285" s="100">
        <f>G285*H285</f>
        <v>0</v>
      </c>
      <c r="J285" s="39" t="s">
        <v>3336</v>
      </c>
      <c r="K285" s="40" t="s">
        <v>31</v>
      </c>
      <c r="L285" s="41"/>
      <c r="M285" s="42" t="str">
        <f>HYPERLINK("https://catalog.onliner.by/xmaslights/neonnight/neon511027", "https://catalog.onliner.by/xmaslights/neonnight/neon511027")</f>
        <v>https://catalog.onliner.by/xmaslights/neonnight/neon511027</v>
      </c>
      <c r="N285" s="42" t="str">
        <f>HYPERLINK("https://pronto.by/catalog/prazdnichnaya-svetotehnika/home-konechnye-potrebiteli/figury-interernye/kaminy-svetodiodnye/511-027.html", "https://pronto.by/catalog/prazdnichnaya-svetotehnika/home-konechnye-potrebiteli/figury-interernye/kaminy-svetodiodnye/511-027.html")</f>
        <v>https://pronto.by/catalog/prazdnichnaya-svetotehnika/home-konechnye-potrebiteli/figury-interernye/kaminy-svetodiodnye/511-027.html</v>
      </c>
    </row>
    <row r="286" spans="1:14" customFormat="1" ht="62.4">
      <c r="A286" s="35" t="s">
        <v>714</v>
      </c>
      <c r="B286" s="19" t="s">
        <v>715</v>
      </c>
      <c r="C286" s="20" t="s">
        <v>716</v>
      </c>
      <c r="D286" s="36" t="s">
        <v>28</v>
      </c>
      <c r="E286" s="37" t="s">
        <v>3283</v>
      </c>
      <c r="F286" s="43">
        <v>50.580000000000005</v>
      </c>
      <c r="G286" s="100">
        <f t="shared" si="4"/>
        <v>50.58</v>
      </c>
      <c r="H286" s="101"/>
      <c r="I286" s="100">
        <f>G286*H286</f>
        <v>0</v>
      </c>
      <c r="J286" s="39" t="s">
        <v>3336</v>
      </c>
      <c r="K286" s="40" t="s">
        <v>31</v>
      </c>
      <c r="L286" s="41" t="s">
        <v>3456</v>
      </c>
      <c r="M286" s="42" t="str">
        <f>HYPERLINK("https://catalog.onliner.by/christmasdecor/neonnight/nn511033", "https://catalog.onliner.by/christmasdecor/neonnight/nn511033")</f>
        <v>https://catalog.onliner.by/christmasdecor/neonnight/nn511033</v>
      </c>
      <c r="N286" s="42" t="str">
        <f>HYPERLINK("https://pronto.by/catalog/product/511-033.html", "https://pronto.by/catalog/product/511-033.html")</f>
        <v>https://pronto.by/catalog/product/511-033.html</v>
      </c>
    </row>
    <row r="287" spans="1:14" customFormat="1" ht="69">
      <c r="A287" s="35" t="s">
        <v>717</v>
      </c>
      <c r="B287" s="19" t="s">
        <v>718</v>
      </c>
      <c r="C287" s="20" t="s">
        <v>719</v>
      </c>
      <c r="D287" s="36" t="s">
        <v>28</v>
      </c>
      <c r="E287" s="37" t="s">
        <v>3291</v>
      </c>
      <c r="F287" s="43">
        <v>82.44</v>
      </c>
      <c r="G287" s="100">
        <f t="shared" si="4"/>
        <v>82.44</v>
      </c>
      <c r="H287" s="101"/>
      <c r="I287" s="100">
        <f>G287*H287</f>
        <v>0</v>
      </c>
      <c r="J287" s="39" t="s">
        <v>3336</v>
      </c>
      <c r="K287" s="40" t="s">
        <v>41</v>
      </c>
      <c r="L287" s="41" t="s">
        <v>3457</v>
      </c>
      <c r="M287" s="42" t="str">
        <f>HYPERLINK("https://catalog.onliner.by/christmasdecor/neonnight/nn511021", "https://catalog.onliner.by/christmasdecor/neonnight/nn511021")</f>
        <v>https://catalog.onliner.by/christmasdecor/neonnight/nn511021</v>
      </c>
      <c r="N287" s="42" t="str">
        <f>HYPERLINK("https://pronto.by/catalog/product/511-021.html", "https://pronto.by/catalog/product/511-021.html")</f>
        <v>https://pronto.by/catalog/product/511-021.html</v>
      </c>
    </row>
    <row r="288" spans="1:14" customFormat="1" ht="69">
      <c r="A288" s="35" t="s">
        <v>720</v>
      </c>
      <c r="B288" s="19" t="s">
        <v>721</v>
      </c>
      <c r="C288" s="20" t="s">
        <v>722</v>
      </c>
      <c r="D288" s="36" t="s">
        <v>28</v>
      </c>
      <c r="E288" s="37" t="s">
        <v>3292</v>
      </c>
      <c r="F288" s="43">
        <v>82.44</v>
      </c>
      <c r="G288" s="100">
        <f t="shared" si="4"/>
        <v>82.44</v>
      </c>
      <c r="H288" s="101"/>
      <c r="I288" s="100">
        <f>G288*H288</f>
        <v>0</v>
      </c>
      <c r="J288" s="39" t="s">
        <v>3336</v>
      </c>
      <c r="K288" s="40" t="s">
        <v>41</v>
      </c>
      <c r="L288" s="41" t="s">
        <v>3458</v>
      </c>
      <c r="M288" s="42" t="str">
        <f>HYPERLINK("https://catalog.onliner.by/christmasdecor/neonnight/nn511020", "https://catalog.onliner.by/christmasdecor/neonnight/nn511020")</f>
        <v>https://catalog.onliner.by/christmasdecor/neonnight/nn511020</v>
      </c>
      <c r="N288" s="42" t="str">
        <f>HYPERLINK("https://pronto.by/catalog/product/511-020.html", "https://pronto.by/catalog/product/511-020.html")</f>
        <v>https://pronto.by/catalog/product/511-020.html</v>
      </c>
    </row>
    <row r="289" spans="1:14" customFormat="1" ht="55.2">
      <c r="A289" s="35" t="s">
        <v>723</v>
      </c>
      <c r="B289" s="19" t="s">
        <v>724</v>
      </c>
      <c r="C289" s="20" t="s">
        <v>725</v>
      </c>
      <c r="D289" s="36" t="s">
        <v>28</v>
      </c>
      <c r="E289" s="37" t="s">
        <v>3292</v>
      </c>
      <c r="F289" s="43">
        <v>64.98</v>
      </c>
      <c r="G289" s="100">
        <f t="shared" si="4"/>
        <v>64.98</v>
      </c>
      <c r="H289" s="101"/>
      <c r="I289" s="100">
        <f>G289*H289</f>
        <v>0</v>
      </c>
      <c r="J289" s="39" t="s">
        <v>3336</v>
      </c>
      <c r="K289" s="40" t="s">
        <v>31</v>
      </c>
      <c r="L289" s="41"/>
      <c r="M289" s="42" t="str">
        <f>HYPERLINK("https://catalog.onliner.by/christmasdecor/neonnight/nn511038", "https://catalog.onliner.by/christmasdecor/neonnight/nn511038")</f>
        <v>https://catalog.onliner.by/christmasdecor/neonnight/nn511038</v>
      </c>
      <c r="N289" s="42" t="str">
        <f>HYPERLINK("https://pronto.by/catalog/product/511-038.html", "https://pronto.by/catalog/product/511-038.html")</f>
        <v>https://pronto.by/catalog/product/511-038.html</v>
      </c>
    </row>
    <row r="290" spans="1:14" customFormat="1" ht="62.4">
      <c r="A290" s="35" t="s">
        <v>726</v>
      </c>
      <c r="B290" s="19" t="s">
        <v>727</v>
      </c>
      <c r="C290" s="20" t="s">
        <v>728</v>
      </c>
      <c r="D290" s="36" t="s">
        <v>28</v>
      </c>
      <c r="E290" s="37" t="s">
        <v>3292</v>
      </c>
      <c r="F290" s="43">
        <v>64.98</v>
      </c>
      <c r="G290" s="100">
        <f t="shared" si="4"/>
        <v>64.98</v>
      </c>
      <c r="H290" s="101"/>
      <c r="I290" s="100">
        <f>G290*H290</f>
        <v>0</v>
      </c>
      <c r="J290" s="39" t="s">
        <v>3336</v>
      </c>
      <c r="K290" s="40" t="s">
        <v>31</v>
      </c>
      <c r="L290" s="41" t="s">
        <v>3459</v>
      </c>
      <c r="M290" s="42" t="str">
        <f>HYPERLINK("https://catalog.onliner.by/christmasdecor/neonnight/nn511039", "https://catalog.onliner.by/christmasdecor/neonnight/nn511039")</f>
        <v>https://catalog.onliner.by/christmasdecor/neonnight/nn511039</v>
      </c>
      <c r="N290" s="42" t="str">
        <f>HYPERLINK("https://pronto.by/catalog/product/511-039.html", "https://pronto.by/catalog/product/511-039.html")</f>
        <v>https://pronto.by/catalog/product/511-039.html</v>
      </c>
    </row>
    <row r="291" spans="1:14" customFormat="1" ht="69">
      <c r="A291" s="35" t="s">
        <v>729</v>
      </c>
      <c r="B291" s="19" t="s">
        <v>730</v>
      </c>
      <c r="C291" s="20" t="s">
        <v>731</v>
      </c>
      <c r="D291" s="36" t="s">
        <v>28</v>
      </c>
      <c r="E291" s="37" t="s">
        <v>3290</v>
      </c>
      <c r="F291" s="43">
        <v>183.6</v>
      </c>
      <c r="G291" s="100">
        <f t="shared" si="4"/>
        <v>183.6</v>
      </c>
      <c r="H291" s="101"/>
      <c r="I291" s="100">
        <f>G291*H291</f>
        <v>0</v>
      </c>
      <c r="J291" s="39" t="s">
        <v>3336</v>
      </c>
      <c r="K291" s="40" t="s">
        <v>41</v>
      </c>
      <c r="L291" s="41" t="s">
        <v>3460</v>
      </c>
      <c r="M291" s="42" t="str">
        <f>HYPERLINK("https://catalog.onliner.by/christmasdecor/neonnight/5110011", "https://catalog.onliner.by/christmasdecor/neonnight/5110011")</f>
        <v>https://catalog.onliner.by/christmasdecor/neonnight/5110011</v>
      </c>
      <c r="N291" s="42" t="str">
        <f>HYPERLINK("https://pronto.by/catalog/product/511-001.html", "https://pronto.by/catalog/product/511-001.html")</f>
        <v>https://pronto.by/catalog/product/511-001.html</v>
      </c>
    </row>
    <row r="292" spans="1:14" customFormat="1" ht="69">
      <c r="A292" s="35" t="s">
        <v>732</v>
      </c>
      <c r="B292" s="19" t="s">
        <v>733</v>
      </c>
      <c r="C292" s="20" t="s">
        <v>734</v>
      </c>
      <c r="D292" s="36" t="s">
        <v>28</v>
      </c>
      <c r="E292" s="37" t="s">
        <v>3290</v>
      </c>
      <c r="F292" s="43">
        <v>105.36000000000001</v>
      </c>
      <c r="G292" s="100">
        <f t="shared" si="4"/>
        <v>105.36</v>
      </c>
      <c r="H292" s="101"/>
      <c r="I292" s="100">
        <f>G292*H292</f>
        <v>0</v>
      </c>
      <c r="J292" s="39" t="s">
        <v>3336</v>
      </c>
      <c r="K292" s="40" t="s">
        <v>41</v>
      </c>
      <c r="L292" s="41"/>
      <c r="M292" s="42" t="str">
        <f>HYPERLINK("https://catalog.onliner.by/christmasdecor/neonnight/nn511006", "https://catalog.onliner.by/christmasdecor/neonnight/nn511006")</f>
        <v>https://catalog.onliner.by/christmasdecor/neonnight/nn511006</v>
      </c>
      <c r="N292" s="42" t="str">
        <f>HYPERLINK("https://pronto.by/catalog/product/511-006.html", "https://pronto.by/catalog/product/511-006.html")</f>
        <v>https://pronto.by/catalog/product/511-006.html</v>
      </c>
    </row>
    <row r="293" spans="1:14" customFormat="1" ht="15.6">
      <c r="A293" s="80" t="s">
        <v>3461</v>
      </c>
      <c r="B293" s="67"/>
      <c r="C293" s="67"/>
      <c r="D293" s="32"/>
      <c r="E293" s="32"/>
      <c r="F293" s="32"/>
      <c r="G293" s="52"/>
      <c r="H293" s="52"/>
      <c r="I293" s="52"/>
      <c r="J293" s="32"/>
      <c r="K293" s="32"/>
      <c r="L293" s="33"/>
      <c r="M293" s="33"/>
      <c r="N293" s="34"/>
    </row>
    <row r="294" spans="1:14" customFormat="1" ht="55.2">
      <c r="A294" s="35" t="s">
        <v>735</v>
      </c>
      <c r="B294" s="19" t="s">
        <v>736</v>
      </c>
      <c r="C294" s="20" t="s">
        <v>737</v>
      </c>
      <c r="D294" s="36" t="s">
        <v>28</v>
      </c>
      <c r="E294" s="37" t="s">
        <v>3281</v>
      </c>
      <c r="F294" s="43">
        <v>42.48</v>
      </c>
      <c r="G294" s="100">
        <f t="shared" si="4"/>
        <v>42.48</v>
      </c>
      <c r="H294" s="101"/>
      <c r="I294" s="100">
        <f>G294*H294</f>
        <v>0</v>
      </c>
      <c r="J294" s="39" t="s">
        <v>3336</v>
      </c>
      <c r="K294" s="40" t="s">
        <v>31</v>
      </c>
      <c r="L294" s="41"/>
      <c r="M294" s="42" t="str">
        <f>HYPERLINK("https://catalog.onliner.by/christmasdecor/neonnight/nn504019", "https://catalog.onliner.by/christmasdecor/neonnight/nn504019")</f>
        <v>https://catalog.onliner.by/christmasdecor/neonnight/nn504019</v>
      </c>
      <c r="N294" s="42" t="str">
        <f>HYPERLINK("https://pronto.by/catalog/product/504-019.html", "https://pronto.by/catalog/product/504-019.html")</f>
        <v>https://pronto.by/catalog/product/504-019.html</v>
      </c>
    </row>
    <row r="295" spans="1:14" customFormat="1" ht="41.4">
      <c r="A295" s="35" t="s">
        <v>738</v>
      </c>
      <c r="B295" s="19" t="s">
        <v>739</v>
      </c>
      <c r="C295" s="20" t="s">
        <v>740</v>
      </c>
      <c r="D295" s="36" t="s">
        <v>28</v>
      </c>
      <c r="E295" s="37" t="s">
        <v>3282</v>
      </c>
      <c r="F295" s="43">
        <v>50.580000000000005</v>
      </c>
      <c r="G295" s="100">
        <f t="shared" si="4"/>
        <v>50.58</v>
      </c>
      <c r="H295" s="101"/>
      <c r="I295" s="100">
        <f>G295*H295</f>
        <v>0</v>
      </c>
      <c r="J295" s="39" t="s">
        <v>3336</v>
      </c>
      <c r="K295" s="40" t="s">
        <v>31</v>
      </c>
      <c r="L295" s="41"/>
      <c r="M295" s="42" t="str">
        <f>HYPERLINK("https://catalog.onliner.by/xmaslights/neonnight/nn504027", "https://catalog.onliner.by/xmaslights/neonnight/nn504027")</f>
        <v>https://catalog.onliner.by/xmaslights/neonnight/nn504027</v>
      </c>
      <c r="N295" s="42" t="str">
        <f>HYPERLINK("https://pronto.by/catalog/product/504-027.html", "https://pronto.by/catalog/product/504-027.html")</f>
        <v>https://pronto.by/catalog/product/504-027.html</v>
      </c>
    </row>
    <row r="296" spans="1:14" customFormat="1" ht="30.6">
      <c r="A296" s="35" t="s">
        <v>741</v>
      </c>
      <c r="B296" s="19" t="s">
        <v>742</v>
      </c>
      <c r="C296" s="20" t="s">
        <v>743</v>
      </c>
      <c r="D296" s="36" t="s">
        <v>28</v>
      </c>
      <c r="E296" s="37" t="s">
        <v>3277</v>
      </c>
      <c r="F296" s="43">
        <v>12.540000000000001</v>
      </c>
      <c r="G296" s="100">
        <f t="shared" si="4"/>
        <v>12.54</v>
      </c>
      <c r="H296" s="101"/>
      <c r="I296" s="100">
        <f>G296*H296</f>
        <v>0</v>
      </c>
      <c r="J296" s="39" t="s">
        <v>3336</v>
      </c>
      <c r="K296" s="40" t="s">
        <v>31</v>
      </c>
      <c r="L296" s="41"/>
      <c r="M296" s="42" t="str">
        <f>HYPERLINK("https://catalog.onliner.by/christmasdecor/neonnight/nn504009", "https://catalog.onliner.by/christmasdecor/neonnight/nn504009")</f>
        <v>https://catalog.onliner.by/christmasdecor/neonnight/nn504009</v>
      </c>
      <c r="N296" s="42" t="str">
        <f>HYPERLINK("https://pronto.by/catalog/product/504-009.html", "https://pronto.by/catalog/product/504-009.html")</f>
        <v>https://pronto.by/catalog/product/504-009.html</v>
      </c>
    </row>
    <row r="297" spans="1:14" customFormat="1" ht="30.6">
      <c r="A297" s="35" t="s">
        <v>744</v>
      </c>
      <c r="B297" s="19" t="s">
        <v>745</v>
      </c>
      <c r="C297" s="20" t="s">
        <v>746</v>
      </c>
      <c r="D297" s="36" t="s">
        <v>28</v>
      </c>
      <c r="E297" s="37" t="s">
        <v>3279</v>
      </c>
      <c r="F297" s="43">
        <v>16.740000000000002</v>
      </c>
      <c r="G297" s="100">
        <f t="shared" si="4"/>
        <v>16.739999999999998</v>
      </c>
      <c r="H297" s="101"/>
      <c r="I297" s="100">
        <f>G297*H297</f>
        <v>0</v>
      </c>
      <c r="J297" s="39" t="s">
        <v>3336</v>
      </c>
      <c r="K297" s="40" t="s">
        <v>31</v>
      </c>
      <c r="L297" s="41"/>
      <c r="M297" s="42" t="str">
        <f>HYPERLINK("https://catalog.onliner.by/xmaslights/neonnight/nn504004", "https://catalog.onliner.by/xmaslights/neonnight/nn504004")</f>
        <v>https://catalog.onliner.by/xmaslights/neonnight/nn504004</v>
      </c>
      <c r="N297" s="42" t="str">
        <f>HYPERLINK("https://pronto.by/catalog/product/504-004.html", "https://pronto.by/catalog/product/504-004.html")</f>
        <v>https://pronto.by/catalog/product/504-004.html</v>
      </c>
    </row>
    <row r="298" spans="1:14" customFormat="1" ht="41.4">
      <c r="A298" s="35" t="s">
        <v>747</v>
      </c>
      <c r="B298" s="19" t="s">
        <v>748</v>
      </c>
      <c r="C298" s="20" t="s">
        <v>749</v>
      </c>
      <c r="D298" s="36" t="s">
        <v>28</v>
      </c>
      <c r="E298" s="37" t="s">
        <v>3306</v>
      </c>
      <c r="F298" s="43">
        <v>12.540000000000001</v>
      </c>
      <c r="G298" s="100">
        <f t="shared" si="4"/>
        <v>12.54</v>
      </c>
      <c r="H298" s="101"/>
      <c r="I298" s="100">
        <f>G298*H298</f>
        <v>0</v>
      </c>
      <c r="J298" s="39" t="s">
        <v>3336</v>
      </c>
      <c r="K298" s="40" t="s">
        <v>31</v>
      </c>
      <c r="L298" s="41"/>
      <c r="M298" s="42" t="str">
        <f>HYPERLINK("https://catalog.onliner.by/christmasdecor/neonnight/nn504008", "https://catalog.onliner.by/christmasdecor/neonnight/nn504008")</f>
        <v>https://catalog.onliner.by/christmasdecor/neonnight/nn504008</v>
      </c>
      <c r="N298" s="42" t="str">
        <f>HYPERLINK("https://pronto.by/catalog/product/504-008.html", "https://pronto.by/catalog/product/504-008.html")</f>
        <v>https://pronto.by/catalog/product/504-008.html</v>
      </c>
    </row>
    <row r="299" spans="1:14" customFormat="1" ht="41.4">
      <c r="A299" s="35" t="s">
        <v>750</v>
      </c>
      <c r="B299" s="19" t="s">
        <v>751</v>
      </c>
      <c r="C299" s="20" t="s">
        <v>752</v>
      </c>
      <c r="D299" s="36" t="s">
        <v>28</v>
      </c>
      <c r="E299" s="37" t="s">
        <v>3291</v>
      </c>
      <c r="F299" s="43">
        <v>50.580000000000005</v>
      </c>
      <c r="G299" s="100">
        <f t="shared" si="4"/>
        <v>50.58</v>
      </c>
      <c r="H299" s="101"/>
      <c r="I299" s="100">
        <f>G299*H299</f>
        <v>0</v>
      </c>
      <c r="J299" s="39" t="s">
        <v>3336</v>
      </c>
      <c r="K299" s="40" t="s">
        <v>31</v>
      </c>
      <c r="L299" s="41"/>
      <c r="M299" s="42" t="str">
        <f>HYPERLINK("https://catalog.onliner.by/christmasdecor/neonnight/504044", "https://catalog.onliner.by/christmasdecor/neonnight/504044")</f>
        <v>https://catalog.onliner.by/christmasdecor/neonnight/504044</v>
      </c>
      <c r="N299" s="42" t="str">
        <f>HYPERLINK("https://pronto.by/catalog/product/504-044.html", "https://pronto.by/catalog/product/504-044.html")</f>
        <v>https://pronto.by/catalog/product/504-044.html</v>
      </c>
    </row>
    <row r="300" spans="1:14" customFormat="1" ht="41.4">
      <c r="A300" s="35" t="s">
        <v>753</v>
      </c>
      <c r="B300" s="19" t="s">
        <v>754</v>
      </c>
      <c r="C300" s="20" t="s">
        <v>755</v>
      </c>
      <c r="D300" s="36" t="s">
        <v>28</v>
      </c>
      <c r="E300" s="37" t="s">
        <v>3279</v>
      </c>
      <c r="F300" s="43">
        <v>16.740000000000002</v>
      </c>
      <c r="G300" s="100">
        <f t="shared" si="4"/>
        <v>16.739999999999998</v>
      </c>
      <c r="H300" s="101"/>
      <c r="I300" s="100">
        <f>G300*H300</f>
        <v>0</v>
      </c>
      <c r="J300" s="39" t="s">
        <v>3336</v>
      </c>
      <c r="K300" s="40" t="s">
        <v>31</v>
      </c>
      <c r="L300" s="41"/>
      <c r="M300" s="42" t="str">
        <f>HYPERLINK("https://catalog.onliner.by/xmaslights/neonnight/nn504006", "https://catalog.onliner.by/xmaslights/neonnight/nn504006")</f>
        <v>https://catalog.onliner.by/xmaslights/neonnight/nn504006</v>
      </c>
      <c r="N300" s="42" t="str">
        <f>HYPERLINK("https://pronto.by/catalog/product/504-006.html", "https://pronto.by/catalog/product/504-006.html")</f>
        <v>https://pronto.by/catalog/product/504-006.html</v>
      </c>
    </row>
    <row r="301" spans="1:14" customFormat="1" ht="41.4">
      <c r="A301" s="35" t="s">
        <v>756</v>
      </c>
      <c r="B301" s="19" t="s">
        <v>757</v>
      </c>
      <c r="C301" s="20" t="s">
        <v>758</v>
      </c>
      <c r="D301" s="36" t="s">
        <v>28</v>
      </c>
      <c r="E301" s="37" t="s">
        <v>3279</v>
      </c>
      <c r="F301" s="43">
        <v>16.740000000000002</v>
      </c>
      <c r="G301" s="100">
        <f t="shared" si="4"/>
        <v>16.739999999999998</v>
      </c>
      <c r="H301" s="101"/>
      <c r="I301" s="100">
        <f>G301*H301</f>
        <v>0</v>
      </c>
      <c r="J301" s="39" t="s">
        <v>3336</v>
      </c>
      <c r="K301" s="40" t="s">
        <v>31</v>
      </c>
      <c r="L301" s="41"/>
      <c r="M301" s="42" t="str">
        <f>HYPERLINK("https://catalog.onliner.by/xmaslights/neonnight/nn504005", "https://catalog.onliner.by/xmaslights/neonnight/nn504005")</f>
        <v>https://catalog.onliner.by/xmaslights/neonnight/nn504005</v>
      </c>
      <c r="N301" s="42" t="str">
        <f>HYPERLINK("https://pronto.by/catalog/product/504-005.html", "https://pronto.by/catalog/product/504-005.html")</f>
        <v>https://pronto.by/catalog/product/504-005.html</v>
      </c>
    </row>
    <row r="302" spans="1:14" customFormat="1" ht="41.4">
      <c r="A302" s="35" t="s">
        <v>759</v>
      </c>
      <c r="B302" s="19" t="s">
        <v>760</v>
      </c>
      <c r="C302" s="20" t="s">
        <v>761</v>
      </c>
      <c r="D302" s="36" t="s">
        <v>28</v>
      </c>
      <c r="E302" s="37" t="s">
        <v>3284</v>
      </c>
      <c r="F302" s="43">
        <v>25.140000000000004</v>
      </c>
      <c r="G302" s="100">
        <f t="shared" si="4"/>
        <v>25.14</v>
      </c>
      <c r="H302" s="101"/>
      <c r="I302" s="100">
        <f>G302*H302</f>
        <v>0</v>
      </c>
      <c r="J302" s="39" t="s">
        <v>3336</v>
      </c>
      <c r="K302" s="40" t="s">
        <v>31</v>
      </c>
      <c r="L302" s="41"/>
      <c r="M302" s="42" t="str">
        <f>HYPERLINK("https://catalog.onliner.by/christmasdecor/neonnight/504023", "https://catalog.onliner.by/christmasdecor/neonnight/504023")</f>
        <v>https://catalog.onliner.by/christmasdecor/neonnight/504023</v>
      </c>
      <c r="N302" s="42" t="str">
        <f>HYPERLINK("https://pronto.by/catalog/product/504-023.html", "https://pronto.by/catalog/product/504-023.html")</f>
        <v>https://pronto.by/catalog/product/504-023.html</v>
      </c>
    </row>
    <row r="303" spans="1:14" customFormat="1" ht="41.4">
      <c r="A303" s="35" t="s">
        <v>762</v>
      </c>
      <c r="B303" s="19" t="s">
        <v>763</v>
      </c>
      <c r="C303" s="20" t="s">
        <v>764</v>
      </c>
      <c r="D303" s="36" t="s">
        <v>28</v>
      </c>
      <c r="E303" s="37" t="s">
        <v>3287</v>
      </c>
      <c r="F303" s="43">
        <v>20.939999999999998</v>
      </c>
      <c r="G303" s="100">
        <f t="shared" si="4"/>
        <v>20.94</v>
      </c>
      <c r="H303" s="101"/>
      <c r="I303" s="100">
        <f>G303*H303</f>
        <v>0</v>
      </c>
      <c r="J303" s="39" t="s">
        <v>3336</v>
      </c>
      <c r="K303" s="40" t="s">
        <v>31</v>
      </c>
      <c r="L303" s="41"/>
      <c r="M303" s="42" t="str">
        <f>HYPERLINK("https://catalog.onliner.by/christmasdecor/neonnight/nn504016", "https://catalog.onliner.by/christmasdecor/neonnight/nn504016")</f>
        <v>https://catalog.onliner.by/christmasdecor/neonnight/nn504016</v>
      </c>
      <c r="N303" s="42" t="str">
        <f>HYPERLINK("https://pronto.by/catalog/product/504-016.html", "https://pronto.by/catalog/product/504-016.html")</f>
        <v>https://pronto.by/catalog/product/504-016.html</v>
      </c>
    </row>
    <row r="304" spans="1:14" customFormat="1" ht="41.4">
      <c r="A304" s="35" t="s">
        <v>765</v>
      </c>
      <c r="B304" s="19" t="s">
        <v>766</v>
      </c>
      <c r="C304" s="20" t="s">
        <v>767</v>
      </c>
      <c r="D304" s="36" t="s">
        <v>28</v>
      </c>
      <c r="E304" s="37" t="s">
        <v>3282</v>
      </c>
      <c r="F304" s="43">
        <v>50.580000000000005</v>
      </c>
      <c r="G304" s="100">
        <f t="shared" si="4"/>
        <v>50.58</v>
      </c>
      <c r="H304" s="101"/>
      <c r="I304" s="100">
        <f>G304*H304</f>
        <v>0</v>
      </c>
      <c r="J304" s="39" t="s">
        <v>3336</v>
      </c>
      <c r="K304" s="40" t="s">
        <v>31</v>
      </c>
      <c r="L304" s="41"/>
      <c r="M304" s="42" t="str">
        <f>HYPERLINK("https://catalog.onliner.by/xmaslights/neonnight/nn504024", "https://catalog.onliner.by/xmaslights/neonnight/nn504024")</f>
        <v>https://catalog.onliner.by/xmaslights/neonnight/nn504024</v>
      </c>
      <c r="N304" s="42" t="str">
        <f>HYPERLINK("https://pronto.by/catalog/product/504-024.html", "https://pronto.by/catalog/product/504-024.html")</f>
        <v>https://pronto.by/catalog/product/504-024.html</v>
      </c>
    </row>
    <row r="305" spans="1:14" customFormat="1" ht="41.4">
      <c r="A305" s="35" t="s">
        <v>768</v>
      </c>
      <c r="B305" s="19" t="s">
        <v>769</v>
      </c>
      <c r="C305" s="20" t="s">
        <v>770</v>
      </c>
      <c r="D305" s="36" t="s">
        <v>28</v>
      </c>
      <c r="E305" s="37" t="s">
        <v>3277</v>
      </c>
      <c r="F305" s="43">
        <v>50.580000000000005</v>
      </c>
      <c r="G305" s="100">
        <f t="shared" si="4"/>
        <v>50.58</v>
      </c>
      <c r="H305" s="101"/>
      <c r="I305" s="100">
        <f>G305*H305</f>
        <v>0</v>
      </c>
      <c r="J305" s="39" t="s">
        <v>3336</v>
      </c>
      <c r="K305" s="40" t="s">
        <v>31</v>
      </c>
      <c r="L305" s="41"/>
      <c r="M305" s="42" t="str">
        <f>HYPERLINK("https://catalog.onliner.by/xmaslights/neonnight/nn504028", "https://catalog.onliner.by/xmaslights/neonnight/nn504028")</f>
        <v>https://catalog.onliner.by/xmaslights/neonnight/nn504028</v>
      </c>
      <c r="N305" s="42" t="str">
        <f>HYPERLINK("https://pronto.by/catalog/product/504-028.html", "https://pronto.by/catalog/product/504-028.html")</f>
        <v>https://pronto.by/catalog/product/504-028.html</v>
      </c>
    </row>
    <row r="306" spans="1:14" customFormat="1" ht="30.6">
      <c r="A306" s="35" t="s">
        <v>771</v>
      </c>
      <c r="B306" s="19" t="s">
        <v>772</v>
      </c>
      <c r="C306" s="20" t="s">
        <v>773</v>
      </c>
      <c r="D306" s="36" t="s">
        <v>28</v>
      </c>
      <c r="E306" s="37" t="s">
        <v>3279</v>
      </c>
      <c r="F306" s="43">
        <v>23.46</v>
      </c>
      <c r="G306" s="100">
        <f t="shared" si="4"/>
        <v>23.46</v>
      </c>
      <c r="H306" s="101"/>
      <c r="I306" s="100">
        <f>G306*H306</f>
        <v>0</v>
      </c>
      <c r="J306" s="39" t="s">
        <v>3336</v>
      </c>
      <c r="K306" s="40" t="s">
        <v>31</v>
      </c>
      <c r="L306" s="41"/>
      <c r="M306" s="42" t="str">
        <f>HYPERLINK("https://catalog.onliner.by/christmasdecor/neonnight/504012", "https://catalog.onliner.by/christmasdecor/neonnight/504012")</f>
        <v>https://catalog.onliner.by/christmasdecor/neonnight/504012</v>
      </c>
      <c r="N306" s="42" t="str">
        <f>HYPERLINK("https://pronto.by/catalog/product/504-012.html", "https://pronto.by/catalog/product/504-012.html")</f>
        <v>https://pronto.by/catalog/product/504-012.html</v>
      </c>
    </row>
    <row r="307" spans="1:14" customFormat="1" ht="30.6">
      <c r="A307" s="35" t="s">
        <v>774</v>
      </c>
      <c r="B307" s="19" t="s">
        <v>775</v>
      </c>
      <c r="C307" s="20" t="s">
        <v>776</v>
      </c>
      <c r="D307" s="36" t="s">
        <v>28</v>
      </c>
      <c r="E307" s="37" t="s">
        <v>3277</v>
      </c>
      <c r="F307" s="43">
        <v>39.06</v>
      </c>
      <c r="G307" s="100">
        <f t="shared" si="4"/>
        <v>39.06</v>
      </c>
      <c r="H307" s="101"/>
      <c r="I307" s="100">
        <f>G307*H307</f>
        <v>0</v>
      </c>
      <c r="J307" s="39" t="s">
        <v>3336</v>
      </c>
      <c r="K307" s="40" t="s">
        <v>31</v>
      </c>
      <c r="L307" s="41"/>
      <c r="M307" s="42" t="str">
        <f>HYPERLINK("https://catalog.onliner.by/xmaslights/neonnight/nn504029", "https://catalog.onliner.by/xmaslights/neonnight/nn504029")</f>
        <v>https://catalog.onliner.by/xmaslights/neonnight/nn504029</v>
      </c>
      <c r="N307" s="42" t="str">
        <f>HYPERLINK("https://pronto.by/catalog/product/504-029.html", "https://pronto.by/catalog/product/504-029.html")</f>
        <v>https://pronto.by/catalog/product/504-029.html</v>
      </c>
    </row>
    <row r="308" spans="1:14" customFormat="1" ht="30.6">
      <c r="A308" s="35" t="s">
        <v>777</v>
      </c>
      <c r="B308" s="19" t="s">
        <v>778</v>
      </c>
      <c r="C308" s="20" t="s">
        <v>779</v>
      </c>
      <c r="D308" s="36" t="s">
        <v>28</v>
      </c>
      <c r="E308" s="37" t="s">
        <v>3282</v>
      </c>
      <c r="F308" s="43">
        <v>64.98</v>
      </c>
      <c r="G308" s="100">
        <f t="shared" si="4"/>
        <v>64.98</v>
      </c>
      <c r="H308" s="101"/>
      <c r="I308" s="100">
        <f>G308*H308</f>
        <v>0</v>
      </c>
      <c r="J308" s="39" t="s">
        <v>3336</v>
      </c>
      <c r="K308" s="40" t="s">
        <v>31</v>
      </c>
      <c r="L308" s="41"/>
      <c r="M308" s="42" t="str">
        <f>HYPERLINK("https://catalog.onliner.by/xmaslights/neonnight/nn504025", "https://catalog.onliner.by/xmaslights/neonnight/nn504025")</f>
        <v>https://catalog.onliner.by/xmaslights/neonnight/nn504025</v>
      </c>
      <c r="N308" s="42" t="str">
        <f>HYPERLINK("https://pronto.by/catalog/product/504-025.html", "https://pronto.by/catalog/product/504-025.html")</f>
        <v>https://pronto.by/catalog/product/504-025.html</v>
      </c>
    </row>
    <row r="309" spans="1:14" customFormat="1" ht="41.4">
      <c r="A309" s="35" t="s">
        <v>780</v>
      </c>
      <c r="B309" s="19" t="s">
        <v>781</v>
      </c>
      <c r="C309" s="20" t="s">
        <v>782</v>
      </c>
      <c r="D309" s="36" t="s">
        <v>28</v>
      </c>
      <c r="E309" s="37" t="s">
        <v>3284</v>
      </c>
      <c r="F309" s="43">
        <v>23.46</v>
      </c>
      <c r="G309" s="100">
        <f t="shared" si="4"/>
        <v>23.46</v>
      </c>
      <c r="H309" s="101"/>
      <c r="I309" s="100">
        <f>G309*H309</f>
        <v>0</v>
      </c>
      <c r="J309" s="39" t="s">
        <v>3336</v>
      </c>
      <c r="K309" s="40" t="s">
        <v>31</v>
      </c>
      <c r="L309" s="41"/>
      <c r="M309" s="42" t="str">
        <f>HYPERLINK("https://catalog.onliner.by/christmasdecor/neonnight/504002", "https://catalog.onliner.by/christmasdecor/neonnight/504002")</f>
        <v>https://catalog.onliner.by/christmasdecor/neonnight/504002</v>
      </c>
      <c r="N309" s="42" t="str">
        <f>HYPERLINK("https://pronto.by/catalog/product/504-002.html", "https://pronto.by/catalog/product/504-002.html")</f>
        <v>https://pronto.by/catalog/product/504-002.html</v>
      </c>
    </row>
    <row r="310" spans="1:14" customFormat="1" ht="41.4">
      <c r="A310" s="35" t="s">
        <v>783</v>
      </c>
      <c r="B310" s="19" t="s">
        <v>784</v>
      </c>
      <c r="C310" s="20" t="s">
        <v>785</v>
      </c>
      <c r="D310" s="36" t="s">
        <v>28</v>
      </c>
      <c r="E310" s="37" t="s">
        <v>3462</v>
      </c>
      <c r="F310" s="43">
        <v>25.140000000000004</v>
      </c>
      <c r="G310" s="100">
        <f t="shared" si="4"/>
        <v>25.14</v>
      </c>
      <c r="H310" s="101"/>
      <c r="I310" s="100">
        <f>G310*H310</f>
        <v>0</v>
      </c>
      <c r="J310" s="39" t="s">
        <v>3336</v>
      </c>
      <c r="K310" s="40" t="s">
        <v>31</v>
      </c>
      <c r="L310" s="41"/>
      <c r="M310" s="42" t="str">
        <f>HYPERLINK("https://catalog.onliner.by/christmasdecor/neonnight/504022", "https://catalog.onliner.by/christmasdecor/neonnight/504022")</f>
        <v>https://catalog.onliner.by/christmasdecor/neonnight/504022</v>
      </c>
      <c r="N310" s="42" t="str">
        <f>HYPERLINK("https://pronto.by/catalog/product/504-022.html", "https://pronto.by/catalog/product/504-022.html")</f>
        <v>https://pronto.by/catalog/product/504-022.html</v>
      </c>
    </row>
    <row r="311" spans="1:14" customFormat="1" ht="41.4">
      <c r="A311" s="35" t="s">
        <v>786</v>
      </c>
      <c r="B311" s="19" t="s">
        <v>787</v>
      </c>
      <c r="C311" s="20" t="s">
        <v>788</v>
      </c>
      <c r="D311" s="36" t="s">
        <v>28</v>
      </c>
      <c r="E311" s="37" t="s">
        <v>3292</v>
      </c>
      <c r="F311" s="43">
        <v>64.98</v>
      </c>
      <c r="G311" s="100">
        <f t="shared" si="4"/>
        <v>64.98</v>
      </c>
      <c r="H311" s="101"/>
      <c r="I311" s="100">
        <f>G311*H311</f>
        <v>0</v>
      </c>
      <c r="J311" s="39" t="s">
        <v>3336</v>
      </c>
      <c r="K311" s="40" t="s">
        <v>31</v>
      </c>
      <c r="L311" s="41"/>
      <c r="M311" s="42" t="str">
        <f>HYPERLINK("https://catalog.onliner.by/christmasdecor/neonnight/504021", "https://catalog.onliner.by/christmasdecor/neonnight/504021")</f>
        <v>https://catalog.onliner.by/christmasdecor/neonnight/504021</v>
      </c>
      <c r="N311" s="42" t="str">
        <f>HYPERLINK("https://pronto.by/catalog/product/504-021.html", "https://pronto.by/catalog/product/504-021.html")</f>
        <v>https://pronto.by/catalog/product/504-021.html</v>
      </c>
    </row>
    <row r="312" spans="1:14" customFormat="1" ht="41.4">
      <c r="A312" s="35" t="s">
        <v>789</v>
      </c>
      <c r="B312" s="19" t="s">
        <v>790</v>
      </c>
      <c r="C312" s="20" t="s">
        <v>791</v>
      </c>
      <c r="D312" s="36" t="s">
        <v>28</v>
      </c>
      <c r="E312" s="37" t="s">
        <v>3277</v>
      </c>
      <c r="F312" s="43">
        <v>42.48</v>
      </c>
      <c r="G312" s="100">
        <f t="shared" si="4"/>
        <v>42.48</v>
      </c>
      <c r="H312" s="101"/>
      <c r="I312" s="100">
        <f>G312*H312</f>
        <v>0</v>
      </c>
      <c r="J312" s="39" t="s">
        <v>3336</v>
      </c>
      <c r="K312" s="40" t="s">
        <v>31</v>
      </c>
      <c r="L312" s="41"/>
      <c r="M312" s="42" t="str">
        <f>HYPERLINK("https://catalog.onliner.by/xmaslights/neonnight/nn504007", "https://catalog.onliner.by/xmaslights/neonnight/nn504007")</f>
        <v>https://catalog.onliner.by/xmaslights/neonnight/nn504007</v>
      </c>
      <c r="N312" s="42" t="str">
        <f>HYPERLINK("https://pronto.by/catalog/product/504-007.html", "https://pronto.by/catalog/product/504-007.html")</f>
        <v>https://pronto.by/catalog/product/504-007.html</v>
      </c>
    </row>
    <row r="313" spans="1:14" customFormat="1" ht="41.4">
      <c r="A313" s="35" t="s">
        <v>792</v>
      </c>
      <c r="B313" s="19" t="s">
        <v>793</v>
      </c>
      <c r="C313" s="20" t="s">
        <v>794</v>
      </c>
      <c r="D313" s="36" t="s">
        <v>28</v>
      </c>
      <c r="E313" s="37" t="s">
        <v>3282</v>
      </c>
      <c r="F313" s="43">
        <v>50.580000000000005</v>
      </c>
      <c r="G313" s="100">
        <f t="shared" si="4"/>
        <v>50.58</v>
      </c>
      <c r="H313" s="101"/>
      <c r="I313" s="100">
        <f>G313*H313</f>
        <v>0</v>
      </c>
      <c r="J313" s="39" t="s">
        <v>3336</v>
      </c>
      <c r="K313" s="40" t="s">
        <v>31</v>
      </c>
      <c r="L313" s="41"/>
      <c r="M313" s="42" t="str">
        <f>HYPERLINK("https://catalog.onliner.by/xmaslights/neonnight/nn504026", "https://catalog.onliner.by/xmaslights/neonnight/nn504026")</f>
        <v>https://catalog.onliner.by/xmaslights/neonnight/nn504026</v>
      </c>
      <c r="N313" s="42" t="str">
        <f>HYPERLINK("https://pronto.by/catalog/product/504-026.html", "https://pronto.by/catalog/product/504-026.html")</f>
        <v>https://pronto.by/catalog/product/504-026.html</v>
      </c>
    </row>
    <row r="314" spans="1:14" customFormat="1" ht="41.4">
      <c r="A314" s="35" t="s">
        <v>795</v>
      </c>
      <c r="B314" s="19" t="s">
        <v>796</v>
      </c>
      <c r="C314" s="20" t="s">
        <v>797</v>
      </c>
      <c r="D314" s="36" t="s">
        <v>28</v>
      </c>
      <c r="E314" s="37" t="s">
        <v>3287</v>
      </c>
      <c r="F314" s="43">
        <v>20.939999999999998</v>
      </c>
      <c r="G314" s="100">
        <f t="shared" si="4"/>
        <v>20.94</v>
      </c>
      <c r="H314" s="101"/>
      <c r="I314" s="100">
        <f>G314*H314</f>
        <v>0</v>
      </c>
      <c r="J314" s="39" t="s">
        <v>3336</v>
      </c>
      <c r="K314" s="40" t="s">
        <v>31</v>
      </c>
      <c r="L314" s="41"/>
      <c r="M314" s="42" t="str">
        <f>HYPERLINK("https://catalog.onliner.by/christmasdecor/neonnight/nn504017", "https://catalog.onliner.by/christmasdecor/neonnight/nn504017")</f>
        <v>https://catalog.onliner.by/christmasdecor/neonnight/nn504017</v>
      </c>
      <c r="N314" s="42" t="str">
        <f>HYPERLINK("https://pronto.by/catalog/product/504-017.html", "https://pronto.by/catalog/product/504-017.html")</f>
        <v>https://pronto.by/catalog/product/504-017.html</v>
      </c>
    </row>
    <row r="315" spans="1:14" customFormat="1" ht="41.4">
      <c r="A315" s="35" t="s">
        <v>798</v>
      </c>
      <c r="B315" s="19" t="s">
        <v>799</v>
      </c>
      <c r="C315" s="20" t="s">
        <v>800</v>
      </c>
      <c r="D315" s="36" t="s">
        <v>28</v>
      </c>
      <c r="E315" s="37" t="s">
        <v>3264</v>
      </c>
      <c r="F315" s="43">
        <v>5.88</v>
      </c>
      <c r="G315" s="100">
        <f t="shared" si="4"/>
        <v>5.88</v>
      </c>
      <c r="H315" s="101"/>
      <c r="I315" s="100">
        <f>G315*H315</f>
        <v>0</v>
      </c>
      <c r="J315" s="39" t="s">
        <v>3336</v>
      </c>
      <c r="K315" s="40" t="s">
        <v>31</v>
      </c>
      <c r="L315" s="41"/>
      <c r="M315" s="42" t="str">
        <f>HYPERLINK("https://catalog.onliner.by/christmasdecor/neonnight/nn504032", "https://catalog.onliner.by/christmasdecor/neonnight/nn504032")</f>
        <v>https://catalog.onliner.by/christmasdecor/neonnight/nn504032</v>
      </c>
      <c r="N315" s="42" t="str">
        <f>HYPERLINK("https://pronto.by/catalog/product/504-032.html", "https://pronto.by/catalog/product/504-032.html")</f>
        <v>https://pronto.by/catalog/product/504-032.html</v>
      </c>
    </row>
    <row r="316" spans="1:14" customFormat="1" ht="41.4">
      <c r="A316" s="35" t="s">
        <v>801</v>
      </c>
      <c r="B316" s="19" t="s">
        <v>802</v>
      </c>
      <c r="C316" s="20" t="s">
        <v>803</v>
      </c>
      <c r="D316" s="36" t="s">
        <v>28</v>
      </c>
      <c r="E316" s="37" t="s">
        <v>3264</v>
      </c>
      <c r="F316" s="43">
        <v>5.88</v>
      </c>
      <c r="G316" s="100">
        <f t="shared" si="4"/>
        <v>5.88</v>
      </c>
      <c r="H316" s="101"/>
      <c r="I316" s="100">
        <f>G316*H316</f>
        <v>0</v>
      </c>
      <c r="J316" s="39" t="s">
        <v>3336</v>
      </c>
      <c r="K316" s="40" t="s">
        <v>31</v>
      </c>
      <c r="L316" s="41"/>
      <c r="M316" s="42" t="str">
        <f>HYPERLINK("https://catalog.onliner.by/christmasdecor/neonnight/nn504033", "https://catalog.onliner.by/christmasdecor/neonnight/nn504033")</f>
        <v>https://catalog.onliner.by/christmasdecor/neonnight/nn504033</v>
      </c>
      <c r="N316" s="42" t="str">
        <f>HYPERLINK("https://pronto.by/catalog/product/504-033.html", "https://pronto.by/catalog/product/504-033.html")</f>
        <v>https://pronto.by/catalog/product/504-033.html</v>
      </c>
    </row>
    <row r="317" spans="1:14" customFormat="1" ht="41.4">
      <c r="A317" s="35" t="s">
        <v>804</v>
      </c>
      <c r="B317" s="19" t="s">
        <v>805</v>
      </c>
      <c r="C317" s="20" t="s">
        <v>806</v>
      </c>
      <c r="D317" s="36" t="s">
        <v>28</v>
      </c>
      <c r="E317" s="37" t="s">
        <v>3264</v>
      </c>
      <c r="F317" s="43">
        <v>5.88</v>
      </c>
      <c r="G317" s="100">
        <f t="shared" si="4"/>
        <v>5.88</v>
      </c>
      <c r="H317" s="101"/>
      <c r="I317" s="100">
        <f>G317*H317</f>
        <v>0</v>
      </c>
      <c r="J317" s="39" t="s">
        <v>3336</v>
      </c>
      <c r="K317" s="40" t="s">
        <v>31</v>
      </c>
      <c r="L317" s="41"/>
      <c r="M317" s="42" t="str">
        <f>HYPERLINK("https://catalog.onliner.by/christmasdecor/neonnight/nn504034", "https://catalog.onliner.by/christmasdecor/neonnight/nn504034")</f>
        <v>https://catalog.onliner.by/christmasdecor/neonnight/nn504034</v>
      </c>
      <c r="N317" s="42" t="str">
        <f>HYPERLINK("https://pronto.by/catalog/product/504-034.html", "https://pronto.by/catalog/product/504-034.html")</f>
        <v>https://pronto.by/catalog/product/504-034.html</v>
      </c>
    </row>
    <row r="318" spans="1:14" customFormat="1" ht="41.4">
      <c r="A318" s="35" t="s">
        <v>807</v>
      </c>
      <c r="B318" s="19" t="s">
        <v>808</v>
      </c>
      <c r="C318" s="20" t="s">
        <v>809</v>
      </c>
      <c r="D318" s="36" t="s">
        <v>28</v>
      </c>
      <c r="E318" s="37" t="s">
        <v>3264</v>
      </c>
      <c r="F318" s="43">
        <v>5.88</v>
      </c>
      <c r="G318" s="100">
        <f t="shared" si="4"/>
        <v>5.88</v>
      </c>
      <c r="H318" s="101"/>
      <c r="I318" s="100">
        <f>G318*H318</f>
        <v>0</v>
      </c>
      <c r="J318" s="39" t="s">
        <v>3336</v>
      </c>
      <c r="K318" s="40" t="s">
        <v>31</v>
      </c>
      <c r="L318" s="41"/>
      <c r="M318" s="42" t="str">
        <f>HYPERLINK("https://catalog.onliner.by/christmasdecor/neonnight/nn504031", "https://catalog.onliner.by/christmasdecor/neonnight/nn504031")</f>
        <v>https://catalog.onliner.by/christmasdecor/neonnight/nn504031</v>
      </c>
      <c r="N318" s="42" t="str">
        <f>HYPERLINK("https://pronto.by/catalog/product/504-031.html", "https://pronto.by/catalog/product/504-031.html")</f>
        <v>https://pronto.by/catalog/product/504-031.html</v>
      </c>
    </row>
    <row r="319" spans="1:14" customFormat="1" ht="15.6">
      <c r="A319" s="80" t="s">
        <v>3463</v>
      </c>
      <c r="B319" s="67"/>
      <c r="C319" s="67"/>
      <c r="D319" s="32"/>
      <c r="E319" s="32"/>
      <c r="F319" s="32"/>
      <c r="G319" s="52"/>
      <c r="H319" s="52"/>
      <c r="I319" s="52"/>
      <c r="J319" s="32"/>
      <c r="K319" s="32"/>
      <c r="L319" s="33"/>
      <c r="M319" s="33"/>
      <c r="N319" s="34"/>
    </row>
    <row r="320" spans="1:14" customFormat="1" ht="30.6">
      <c r="A320" s="35" t="s">
        <v>810</v>
      </c>
      <c r="B320" s="19" t="s">
        <v>811</v>
      </c>
      <c r="C320" s="20" t="s">
        <v>812</v>
      </c>
      <c r="D320" s="36" t="s">
        <v>28</v>
      </c>
      <c r="E320" s="37" t="s">
        <v>3291</v>
      </c>
      <c r="F320" s="43">
        <v>50.82</v>
      </c>
      <c r="G320" s="100">
        <f t="shared" si="4"/>
        <v>50.82</v>
      </c>
      <c r="H320" s="101"/>
      <c r="I320" s="100">
        <f>G320*H320</f>
        <v>0</v>
      </c>
      <c r="J320" s="39" t="s">
        <v>3336</v>
      </c>
      <c r="K320" s="40" t="s">
        <v>31</v>
      </c>
      <c r="L320" s="41"/>
      <c r="M320" s="42" t="str">
        <f>HYPERLINK("https://catalog.onliner.by/xmaslights/neonnight/nn505029", "https://catalog.onliner.by/xmaslights/neonnight/nn505029")</f>
        <v>https://catalog.onliner.by/xmaslights/neonnight/nn505029</v>
      </c>
      <c r="N320" s="42" t="str">
        <f>HYPERLINK("https://pronto.by/catalog/product/505-029.html", "https://pronto.by/catalog/product/505-029.html")</f>
        <v>https://pronto.by/catalog/product/505-029.html</v>
      </c>
    </row>
    <row r="321" spans="1:14" customFormat="1" ht="30.6">
      <c r="A321" s="35" t="s">
        <v>813</v>
      </c>
      <c r="B321" s="19" t="s">
        <v>814</v>
      </c>
      <c r="C321" s="20" t="s">
        <v>815</v>
      </c>
      <c r="D321" s="36" t="s">
        <v>28</v>
      </c>
      <c r="E321" s="37" t="s">
        <v>3464</v>
      </c>
      <c r="F321" s="43">
        <v>148.86000000000001</v>
      </c>
      <c r="G321" s="100">
        <f t="shared" si="4"/>
        <v>148.86000000000001</v>
      </c>
      <c r="H321" s="101"/>
      <c r="I321" s="100">
        <f>G321*H321</f>
        <v>0</v>
      </c>
      <c r="J321" s="39" t="s">
        <v>3336</v>
      </c>
      <c r="K321" s="40" t="s">
        <v>31</v>
      </c>
      <c r="L321" s="41"/>
      <c r="M321" s="42" t="str">
        <f>HYPERLINK("https://catalog.onliner.by/xmaslights/neonnight/nn505012", "https://catalog.onliner.by/xmaslights/neonnight/nn505012")</f>
        <v>https://catalog.onliner.by/xmaslights/neonnight/nn505012</v>
      </c>
      <c r="N321" s="42" t="str">
        <f>HYPERLINK("https://pronto.by/catalog/product/505-012.html", "https://pronto.by/catalog/product/505-012.html")</f>
        <v>https://pronto.by/catalog/product/505-012.html</v>
      </c>
    </row>
    <row r="322" spans="1:14" customFormat="1" ht="30.6">
      <c r="A322" s="35" t="s">
        <v>816</v>
      </c>
      <c r="B322" s="19" t="s">
        <v>817</v>
      </c>
      <c r="C322" s="20" t="s">
        <v>818</v>
      </c>
      <c r="D322" s="36" t="s">
        <v>28</v>
      </c>
      <c r="E322" s="37" t="s">
        <v>3288</v>
      </c>
      <c r="F322" s="43">
        <v>12.540000000000001</v>
      </c>
      <c r="G322" s="100">
        <f t="shared" si="4"/>
        <v>12.54</v>
      </c>
      <c r="H322" s="101"/>
      <c r="I322" s="100">
        <f>G322*H322</f>
        <v>0</v>
      </c>
      <c r="J322" s="39" t="s">
        <v>3336</v>
      </c>
      <c r="K322" s="40" t="s">
        <v>31</v>
      </c>
      <c r="L322" s="41"/>
      <c r="M322" s="42" t="str">
        <f>HYPERLINK("https://catalog.onliner.by/christmasdecor/neonnight/505022", "https://catalog.onliner.by/christmasdecor/neonnight/505022")</f>
        <v>https://catalog.onliner.by/christmasdecor/neonnight/505022</v>
      </c>
      <c r="N322" s="42" t="str">
        <f>HYPERLINK("https://pronto.by/catalog/product/505-022.html", "https://pronto.by/catalog/product/505-022.html")</f>
        <v>https://pronto.by/catalog/product/505-022.html</v>
      </c>
    </row>
    <row r="323" spans="1:14" customFormat="1" ht="30.6">
      <c r="A323" s="35" t="s">
        <v>819</v>
      </c>
      <c r="B323" s="19" t="s">
        <v>820</v>
      </c>
      <c r="C323" s="20" t="s">
        <v>821</v>
      </c>
      <c r="D323" s="36" t="s">
        <v>28</v>
      </c>
      <c r="E323" s="37" t="s">
        <v>3283</v>
      </c>
      <c r="F323" s="43">
        <v>54.84</v>
      </c>
      <c r="G323" s="100">
        <f t="shared" si="4"/>
        <v>54.84</v>
      </c>
      <c r="H323" s="101"/>
      <c r="I323" s="100">
        <f>G323*H323</f>
        <v>0</v>
      </c>
      <c r="J323" s="39" t="s">
        <v>3336</v>
      </c>
      <c r="K323" s="40" t="s">
        <v>31</v>
      </c>
      <c r="L323" s="41"/>
      <c r="M323" s="42" t="str">
        <f>HYPERLINK("https://catalog.onliner.by/xmaslights/neonnight/nn505007", "https://catalog.onliner.by/xmaslights/neonnight/nn505007")</f>
        <v>https://catalog.onliner.by/xmaslights/neonnight/nn505007</v>
      </c>
      <c r="N323" s="42" t="str">
        <f>HYPERLINK("https://pronto.by/catalog/product/505-007.html", "https://pronto.by/catalog/product/505-007.html")</f>
        <v>https://pronto.by/catalog/product/505-007.html</v>
      </c>
    </row>
    <row r="324" spans="1:14" customFormat="1" ht="41.4">
      <c r="A324" s="35" t="s">
        <v>822</v>
      </c>
      <c r="B324" s="19" t="s">
        <v>823</v>
      </c>
      <c r="C324" s="20" t="s">
        <v>824</v>
      </c>
      <c r="D324" s="36" t="s">
        <v>28</v>
      </c>
      <c r="E324" s="37" t="s">
        <v>3287</v>
      </c>
      <c r="F324" s="43">
        <v>17.04</v>
      </c>
      <c r="G324" s="100">
        <f t="shared" si="4"/>
        <v>17.04</v>
      </c>
      <c r="H324" s="101"/>
      <c r="I324" s="100">
        <f>G324*H324</f>
        <v>0</v>
      </c>
      <c r="J324" s="39" t="s">
        <v>3336</v>
      </c>
      <c r="K324" s="40" t="s">
        <v>31</v>
      </c>
      <c r="L324" s="41"/>
      <c r="M324" s="42" t="str">
        <f>HYPERLINK("https://catalog.onliner.by/xmaslights/neonnight/nn505024", "https://catalog.onliner.by/xmaslights/neonnight/nn505024")</f>
        <v>https://catalog.onliner.by/xmaslights/neonnight/nn505024</v>
      </c>
      <c r="N324" s="42" t="str">
        <f>HYPERLINK("https://pronto.by/catalog/product/505-024.html", "https://pronto.by/catalog/product/505-024.html")</f>
        <v>https://pronto.by/catalog/product/505-024.html</v>
      </c>
    </row>
    <row r="325" spans="1:14" customFormat="1" ht="30.6">
      <c r="A325" s="35" t="s">
        <v>825</v>
      </c>
      <c r="B325" s="19" t="s">
        <v>826</v>
      </c>
      <c r="C325" s="20" t="s">
        <v>827</v>
      </c>
      <c r="D325" s="36" t="s">
        <v>28</v>
      </c>
      <c r="E325" s="37" t="s">
        <v>3299</v>
      </c>
      <c r="F325" s="43">
        <v>19.98</v>
      </c>
      <c r="G325" s="100">
        <f t="shared" si="4"/>
        <v>19.98</v>
      </c>
      <c r="H325" s="101"/>
      <c r="I325" s="100">
        <f>G325*H325</f>
        <v>0</v>
      </c>
      <c r="J325" s="39" t="s">
        <v>3336</v>
      </c>
      <c r="K325" s="40" t="s">
        <v>31</v>
      </c>
      <c r="L325" s="41"/>
      <c r="M325" s="42" t="str">
        <f>HYPERLINK("https://catalog.onliner.by/christmasdecor/neonnight/505009", "https://catalog.onliner.by/christmasdecor/neonnight/505009")</f>
        <v>https://catalog.onliner.by/christmasdecor/neonnight/505009</v>
      </c>
      <c r="N325" s="42" t="str">
        <f>HYPERLINK("https://pronto.by/catalog/product/505-009.html", "https://pronto.by/catalog/product/505-009.html")</f>
        <v>https://pronto.by/catalog/product/505-009.html</v>
      </c>
    </row>
    <row r="326" spans="1:14" customFormat="1" ht="30.6">
      <c r="A326" s="35" t="s">
        <v>828</v>
      </c>
      <c r="B326" s="19" t="s">
        <v>829</v>
      </c>
      <c r="C326" s="20" t="s">
        <v>830</v>
      </c>
      <c r="D326" s="36" t="s">
        <v>28</v>
      </c>
      <c r="E326" s="37" t="s">
        <v>3277</v>
      </c>
      <c r="F326" s="43">
        <v>18</v>
      </c>
      <c r="G326" s="100">
        <f t="shared" si="4"/>
        <v>18</v>
      </c>
      <c r="H326" s="101"/>
      <c r="I326" s="100">
        <f>G326*H326</f>
        <v>0</v>
      </c>
      <c r="J326" s="39" t="s">
        <v>3336</v>
      </c>
      <c r="K326" s="40" t="s">
        <v>31</v>
      </c>
      <c r="L326" s="41"/>
      <c r="M326" s="42" t="str">
        <f>HYPERLINK("https://catalog.onliner.by/candles/neonnight/nn501070", "https://catalog.onliner.by/candles/neonnight/nn501070")</f>
        <v>https://catalog.onliner.by/candles/neonnight/nn501070</v>
      </c>
      <c r="N326" s="42" t="str">
        <f>HYPERLINK("https://pronto.by/catalog/product/501-070.html", "https://pronto.by/catalog/product/501-070.html")</f>
        <v>https://pronto.by/catalog/product/501-070.html</v>
      </c>
    </row>
    <row r="327" spans="1:14" customFormat="1" ht="30.6">
      <c r="A327" s="35" t="s">
        <v>831</v>
      </c>
      <c r="B327" s="19" t="s">
        <v>832</v>
      </c>
      <c r="C327" s="20" t="s">
        <v>833</v>
      </c>
      <c r="D327" s="36" t="s">
        <v>28</v>
      </c>
      <c r="E327" s="37" t="s">
        <v>3277</v>
      </c>
      <c r="F327" s="43">
        <v>18</v>
      </c>
      <c r="G327" s="100">
        <f t="shared" si="4"/>
        <v>18</v>
      </c>
      <c r="H327" s="101"/>
      <c r="I327" s="100">
        <f>G327*H327</f>
        <v>0</v>
      </c>
      <c r="J327" s="39" t="s">
        <v>3336</v>
      </c>
      <c r="K327" s="40" t="s">
        <v>31</v>
      </c>
      <c r="L327" s="41"/>
      <c r="M327" s="42" t="str">
        <f>HYPERLINK("https://catalog.onliner.by/candles/neonnight/nn501074", "https://catalog.onliner.by/candles/neonnight/nn501074")</f>
        <v>https://catalog.onliner.by/candles/neonnight/nn501074</v>
      </c>
      <c r="N327" s="42" t="str">
        <f>HYPERLINK("https://pronto.by/catalog/product/501-074.html", "https://pronto.by/catalog/product/501-074.html")</f>
        <v>https://pronto.by/catalog/product/501-074.html</v>
      </c>
    </row>
    <row r="328" spans="1:14" customFormat="1" ht="15.6">
      <c r="A328" s="80" t="s">
        <v>3465</v>
      </c>
      <c r="B328" s="67"/>
      <c r="C328" s="67"/>
      <c r="D328" s="32"/>
      <c r="E328" s="32"/>
      <c r="F328" s="32"/>
      <c r="G328" s="52"/>
      <c r="H328" s="52"/>
      <c r="I328" s="52"/>
      <c r="J328" s="32"/>
      <c r="K328" s="32"/>
      <c r="L328" s="33"/>
      <c r="M328" s="33"/>
      <c r="N328" s="34"/>
    </row>
    <row r="329" spans="1:14" customFormat="1" ht="41.4">
      <c r="A329" s="35" t="s">
        <v>834</v>
      </c>
      <c r="B329" s="19" t="s">
        <v>835</v>
      </c>
      <c r="C329" s="20" t="s">
        <v>836</v>
      </c>
      <c r="D329" s="36" t="s">
        <v>28</v>
      </c>
      <c r="E329" s="37" t="s">
        <v>3277</v>
      </c>
      <c r="F329" s="43">
        <v>25.44</v>
      </c>
      <c r="G329" s="100">
        <f t="shared" si="4"/>
        <v>25.44</v>
      </c>
      <c r="H329" s="101"/>
      <c r="I329" s="100">
        <f>G329*H329</f>
        <v>0</v>
      </c>
      <c r="J329" s="39" t="s">
        <v>3336</v>
      </c>
      <c r="K329" s="40" t="s">
        <v>31</v>
      </c>
      <c r="L329" s="41"/>
      <c r="M329" s="42" t="str">
        <f>HYPERLINK("https://catalog.onliner.by/xmaslights/neonnight/501019", "https://catalog.onliner.by/xmaslights/neonnight/501019")</f>
        <v>https://catalog.onliner.by/xmaslights/neonnight/501019</v>
      </c>
      <c r="N329" s="42" t="str">
        <f>HYPERLINK("https://pronto.by/catalog/product/501-019.html", "https://pronto.by/catalog/product/501-019.html")</f>
        <v>https://pronto.by/catalog/product/501-019.html</v>
      </c>
    </row>
    <row r="330" spans="1:14" customFormat="1" ht="41.4">
      <c r="A330" s="35" t="s">
        <v>837</v>
      </c>
      <c r="B330" s="19" t="s">
        <v>838</v>
      </c>
      <c r="C330" s="20" t="s">
        <v>839</v>
      </c>
      <c r="D330" s="36" t="s">
        <v>28</v>
      </c>
      <c r="E330" s="37" t="s">
        <v>3277</v>
      </c>
      <c r="F330" s="43">
        <v>25.44</v>
      </c>
      <c r="G330" s="100">
        <f t="shared" si="4"/>
        <v>25.44</v>
      </c>
      <c r="H330" s="101"/>
      <c r="I330" s="100">
        <f>G330*H330</f>
        <v>0</v>
      </c>
      <c r="J330" s="39" t="s">
        <v>3336</v>
      </c>
      <c r="K330" s="40" t="s">
        <v>31</v>
      </c>
      <c r="L330" s="41"/>
      <c r="M330" s="42" t="str">
        <f>HYPERLINK("https://catalog.onliner.by/xmaslights/neonnight/nn501015", "https://catalog.onliner.by/xmaslights/neonnight/nn501015")</f>
        <v>https://catalog.onliner.by/xmaslights/neonnight/nn501015</v>
      </c>
      <c r="N330" s="42" t="str">
        <f>HYPERLINK("https://pronto.by/catalog/product/501-015.html", "https://pronto.by/catalog/product/501-015.html")</f>
        <v>https://pronto.by/catalog/product/501-015.html</v>
      </c>
    </row>
    <row r="331" spans="1:14" customFormat="1" ht="41.4">
      <c r="A331" s="35" t="s">
        <v>840</v>
      </c>
      <c r="B331" s="19" t="s">
        <v>841</v>
      </c>
      <c r="C331" s="20" t="s">
        <v>842</v>
      </c>
      <c r="D331" s="36" t="s">
        <v>28</v>
      </c>
      <c r="E331" s="37" t="s">
        <v>3277</v>
      </c>
      <c r="F331" s="43">
        <v>25.44</v>
      </c>
      <c r="G331" s="100">
        <f t="shared" si="4"/>
        <v>25.44</v>
      </c>
      <c r="H331" s="101"/>
      <c r="I331" s="100">
        <f>G331*H331</f>
        <v>0</v>
      </c>
      <c r="J331" s="39" t="s">
        <v>3336</v>
      </c>
      <c r="K331" s="40" t="s">
        <v>31</v>
      </c>
      <c r="L331" s="41"/>
      <c r="M331" s="42" t="str">
        <f>HYPERLINK("https://catalog.onliner.by/xmaslights/neonnight/nn501017", "https://catalog.onliner.by/xmaslights/neonnight/nn501017")</f>
        <v>https://catalog.onliner.by/xmaslights/neonnight/nn501017</v>
      </c>
      <c r="N331" s="42" t="str">
        <f>HYPERLINK("https://pronto.by/catalog/product/501-017.html", "https://pronto.by/catalog/product/501-017.html")</f>
        <v>https://pronto.by/catalog/product/501-017.html</v>
      </c>
    </row>
    <row r="332" spans="1:14" customFormat="1" ht="41.4">
      <c r="A332" s="35" t="s">
        <v>843</v>
      </c>
      <c r="B332" s="19" t="s">
        <v>844</v>
      </c>
      <c r="C332" s="20" t="s">
        <v>845</v>
      </c>
      <c r="D332" s="36" t="s">
        <v>28</v>
      </c>
      <c r="E332" s="37" t="s">
        <v>3277</v>
      </c>
      <c r="F332" s="43">
        <v>25.44</v>
      </c>
      <c r="G332" s="100">
        <f t="shared" si="4"/>
        <v>25.44</v>
      </c>
      <c r="H332" s="101"/>
      <c r="I332" s="100">
        <f>G332*H332</f>
        <v>0</v>
      </c>
      <c r="J332" s="39" t="s">
        <v>3336</v>
      </c>
      <c r="K332" s="40" t="s">
        <v>31</v>
      </c>
      <c r="L332" s="41"/>
      <c r="M332" s="42" t="str">
        <f>HYPERLINK("https://catalog.onliner.by/xmaslights/neonnight/nn501011", "https://catalog.onliner.by/xmaslights/neonnight/nn501011")</f>
        <v>https://catalog.onliner.by/xmaslights/neonnight/nn501011</v>
      </c>
      <c r="N332" s="42" t="str">
        <f>HYPERLINK("https://pronto.by/catalog/product/501-011.html", "https://pronto.by/catalog/product/501-011.html")</f>
        <v>https://pronto.by/catalog/product/501-011.html</v>
      </c>
    </row>
    <row r="333" spans="1:14" customFormat="1" ht="41.4">
      <c r="A333" s="35" t="s">
        <v>846</v>
      </c>
      <c r="B333" s="19" t="s">
        <v>847</v>
      </c>
      <c r="C333" s="20" t="s">
        <v>848</v>
      </c>
      <c r="D333" s="36" t="s">
        <v>28</v>
      </c>
      <c r="E333" s="37" t="s">
        <v>3277</v>
      </c>
      <c r="F333" s="43">
        <v>25.44</v>
      </c>
      <c r="G333" s="100">
        <f t="shared" si="4"/>
        <v>25.44</v>
      </c>
      <c r="H333" s="101"/>
      <c r="I333" s="100">
        <f>G333*H333</f>
        <v>0</v>
      </c>
      <c r="J333" s="39" t="s">
        <v>3336</v>
      </c>
      <c r="K333" s="40" t="s">
        <v>31</v>
      </c>
      <c r="L333" s="41"/>
      <c r="M333" s="42" t="str">
        <f>HYPERLINK("https://catalog.onliner.by/xmaslights/neonnight/nn501012", "https://catalog.onliner.by/xmaslights/neonnight/nn501012")</f>
        <v>https://catalog.onliner.by/xmaslights/neonnight/nn501012</v>
      </c>
      <c r="N333" s="42" t="str">
        <f>HYPERLINK("https://pronto.by/catalog/product/501-012.html", "https://pronto.by/catalog/product/501-012.html")</f>
        <v>https://pronto.by/catalog/product/501-012.html</v>
      </c>
    </row>
    <row r="334" spans="1:14" customFormat="1" ht="41.4">
      <c r="A334" s="35" t="s">
        <v>849</v>
      </c>
      <c r="B334" s="19" t="s">
        <v>850</v>
      </c>
      <c r="C334" s="20" t="s">
        <v>851</v>
      </c>
      <c r="D334" s="36" t="s">
        <v>28</v>
      </c>
      <c r="E334" s="37" t="s">
        <v>3277</v>
      </c>
      <c r="F334" s="43">
        <v>25.44</v>
      </c>
      <c r="G334" s="100">
        <f t="shared" si="4"/>
        <v>25.44</v>
      </c>
      <c r="H334" s="101"/>
      <c r="I334" s="100">
        <f>G334*H334</f>
        <v>0</v>
      </c>
      <c r="J334" s="39" t="s">
        <v>3336</v>
      </c>
      <c r="K334" s="40" t="s">
        <v>31</v>
      </c>
      <c r="L334" s="41"/>
      <c r="M334" s="42" t="str">
        <f>HYPERLINK("https://catalog.onliner.by/xmaslights/neonnight/nn501014", "https://catalog.onliner.by/xmaslights/neonnight/nn501014")</f>
        <v>https://catalog.onliner.by/xmaslights/neonnight/nn501014</v>
      </c>
      <c r="N334" s="42" t="str">
        <f>HYPERLINK("https://pronto.by/catalog/product/501-014.html", "https://pronto.by/catalog/product/501-014.html")</f>
        <v>https://pronto.by/catalog/product/501-014.html</v>
      </c>
    </row>
    <row r="335" spans="1:14" customFormat="1" ht="41.4">
      <c r="A335" s="35" t="s">
        <v>852</v>
      </c>
      <c r="B335" s="19" t="s">
        <v>853</v>
      </c>
      <c r="C335" s="20" t="s">
        <v>854</v>
      </c>
      <c r="D335" s="36" t="s">
        <v>28</v>
      </c>
      <c r="E335" s="37" t="s">
        <v>3277</v>
      </c>
      <c r="F335" s="43">
        <v>25.44</v>
      </c>
      <c r="G335" s="100">
        <f t="shared" ref="G335:G397" si="5">ROUND(F335-F335*G$3,2)</f>
        <v>25.44</v>
      </c>
      <c r="H335" s="101"/>
      <c r="I335" s="100">
        <f>G335*H335</f>
        <v>0</v>
      </c>
      <c r="J335" s="39" t="s">
        <v>3336</v>
      </c>
      <c r="K335" s="40" t="s">
        <v>31</v>
      </c>
      <c r="L335" s="41"/>
      <c r="M335" s="42" t="str">
        <f>HYPERLINK("https://catalog.onliner.by/xmaslights/neonnight/nn501016", "https://catalog.onliner.by/xmaslights/neonnight/nn501016")</f>
        <v>https://catalog.onliner.by/xmaslights/neonnight/nn501016</v>
      </c>
      <c r="N335" s="42" t="str">
        <f>HYPERLINK("https://pronto.by/catalog/product/501-016.html", "https://pronto.by/catalog/product/501-016.html")</f>
        <v>https://pronto.by/catalog/product/501-016.html</v>
      </c>
    </row>
    <row r="336" spans="1:14" customFormat="1" ht="41.4">
      <c r="A336" s="35" t="s">
        <v>855</v>
      </c>
      <c r="B336" s="19" t="s">
        <v>856</v>
      </c>
      <c r="C336" s="20" t="s">
        <v>857</v>
      </c>
      <c r="D336" s="36" t="s">
        <v>28</v>
      </c>
      <c r="E336" s="37" t="s">
        <v>3277</v>
      </c>
      <c r="F336" s="43">
        <v>25.44</v>
      </c>
      <c r="G336" s="100">
        <f t="shared" si="5"/>
        <v>25.44</v>
      </c>
      <c r="H336" s="101"/>
      <c r="I336" s="100">
        <f>G336*H336</f>
        <v>0</v>
      </c>
      <c r="J336" s="39" t="s">
        <v>3336</v>
      </c>
      <c r="K336" s="40" t="s">
        <v>31</v>
      </c>
      <c r="L336" s="41"/>
      <c r="M336" s="42" t="str">
        <f>HYPERLINK("https://catalog.onliner.by/xmaslights/neonnight/nn501018", "https://catalog.onliner.by/xmaslights/neonnight/nn501018")</f>
        <v>https://catalog.onliner.by/xmaslights/neonnight/nn501018</v>
      </c>
      <c r="N336" s="42" t="str">
        <f>HYPERLINK("https://pronto.by/catalog/product/501-018.html", "https://pronto.by/catalog/product/501-018.html")</f>
        <v>https://pronto.by/catalog/product/501-018.html</v>
      </c>
    </row>
    <row r="337" spans="1:14" customFormat="1" ht="41.4">
      <c r="A337" s="35" t="s">
        <v>858</v>
      </c>
      <c r="B337" s="19" t="s">
        <v>859</v>
      </c>
      <c r="C337" s="20" t="s">
        <v>860</v>
      </c>
      <c r="D337" s="36" t="s">
        <v>28</v>
      </c>
      <c r="E337" s="37" t="s">
        <v>3282</v>
      </c>
      <c r="F337" s="43">
        <v>25.44</v>
      </c>
      <c r="G337" s="100">
        <f t="shared" si="5"/>
        <v>25.44</v>
      </c>
      <c r="H337" s="101"/>
      <c r="I337" s="100">
        <f>G337*H337</f>
        <v>0</v>
      </c>
      <c r="J337" s="39" t="s">
        <v>3336</v>
      </c>
      <c r="K337" s="40" t="s">
        <v>31</v>
      </c>
      <c r="L337" s="41"/>
      <c r="M337" s="42" t="str">
        <f>HYPERLINK("https://catalog.onliner.by/xmaslights/neonnight/nn501013", "https://catalog.onliner.by/xmaslights/neonnight/nn501013")</f>
        <v>https://catalog.onliner.by/xmaslights/neonnight/nn501013</v>
      </c>
      <c r="N337" s="42" t="str">
        <f>HYPERLINK("https://pronto.by/catalog/product/501-013.html", "https://pronto.by/catalog/product/501-013.html")</f>
        <v>https://pronto.by/catalog/product/501-013.html</v>
      </c>
    </row>
    <row r="338" spans="1:14" customFormat="1" ht="71.400000000000006">
      <c r="A338" s="35" t="s">
        <v>861</v>
      </c>
      <c r="B338" s="19" t="s">
        <v>862</v>
      </c>
      <c r="C338" s="20" t="s">
        <v>863</v>
      </c>
      <c r="D338" s="36" t="s">
        <v>28</v>
      </c>
      <c r="E338" s="37" t="s">
        <v>3308</v>
      </c>
      <c r="F338" s="43">
        <v>16.740000000000002</v>
      </c>
      <c r="G338" s="100">
        <f t="shared" si="5"/>
        <v>16.739999999999998</v>
      </c>
      <c r="H338" s="101"/>
      <c r="I338" s="100">
        <f>G338*H338</f>
        <v>0</v>
      </c>
      <c r="J338" s="39" t="s">
        <v>3336</v>
      </c>
      <c r="K338" s="40" t="s">
        <v>31</v>
      </c>
      <c r="L338" s="41"/>
      <c r="M338" s="42" t="s">
        <v>864</v>
      </c>
      <c r="N338" s="42" t="str">
        <f>HYPERLINK("https://pronto.by/catalog/prazdnichnaya-svetotehnika/home-konechnye-potrebiteli/figury-interernye/podvesnye-figurki/501-057.html", "https://pronto.by/catalog/prazdnichnaya-svetotehnika/home-konechnye-potrebiteli/figury-interernye/podvesnye-figurki/501-057.html")</f>
        <v>https://pronto.by/catalog/prazdnichnaya-svetotehnika/home-konechnye-potrebiteli/figury-interernye/podvesnye-figurki/501-057.html</v>
      </c>
    </row>
    <row r="339" spans="1:14" customFormat="1" ht="71.400000000000006">
      <c r="A339" s="35" t="s">
        <v>865</v>
      </c>
      <c r="B339" s="19" t="s">
        <v>866</v>
      </c>
      <c r="C339" s="20" t="s">
        <v>867</v>
      </c>
      <c r="D339" s="36" t="s">
        <v>28</v>
      </c>
      <c r="E339" s="37" t="s">
        <v>3308</v>
      </c>
      <c r="F339" s="43">
        <v>38.22</v>
      </c>
      <c r="G339" s="100">
        <f t="shared" si="5"/>
        <v>38.22</v>
      </c>
      <c r="H339" s="101"/>
      <c r="I339" s="100">
        <f>G339*H339</f>
        <v>0</v>
      </c>
      <c r="J339" s="39" t="s">
        <v>3336</v>
      </c>
      <c r="K339" s="40" t="s">
        <v>31</v>
      </c>
      <c r="L339" s="41"/>
      <c r="M339" s="42" t="s">
        <v>868</v>
      </c>
      <c r="N339" s="42" t="str">
        <f>HYPERLINK("https://pronto.by/catalog/prazdnichnaya-svetotehnika/home-konechnye-potrebiteli/figury-interernye/podvesnye-figurki/501-056.html", "https://pronto.by/catalog/prazdnichnaya-svetotehnika/home-konechnye-potrebiteli/figury-interernye/podvesnye-figurki/501-056.html")</f>
        <v>https://pronto.by/catalog/prazdnichnaya-svetotehnika/home-konechnye-potrebiteli/figury-interernye/podvesnye-figurki/501-056.html</v>
      </c>
    </row>
    <row r="340" spans="1:14" customFormat="1" ht="15.6">
      <c r="A340" s="80" t="s">
        <v>3466</v>
      </c>
      <c r="B340" s="67"/>
      <c r="C340" s="67"/>
      <c r="D340" s="32"/>
      <c r="E340" s="32"/>
      <c r="F340" s="32"/>
      <c r="G340" s="52"/>
      <c r="H340" s="52"/>
      <c r="I340" s="52"/>
      <c r="J340" s="32"/>
      <c r="K340" s="32"/>
      <c r="L340" s="33"/>
      <c r="M340" s="33"/>
      <c r="N340" s="34"/>
    </row>
    <row r="341" spans="1:14" customFormat="1" ht="30.6">
      <c r="A341" s="35" t="s">
        <v>869</v>
      </c>
      <c r="B341" s="19" t="s">
        <v>870</v>
      </c>
      <c r="C341" s="20" t="s">
        <v>871</v>
      </c>
      <c r="D341" s="36" t="s">
        <v>28</v>
      </c>
      <c r="E341" s="37" t="s">
        <v>3287</v>
      </c>
      <c r="F341" s="43">
        <v>7.92</v>
      </c>
      <c r="G341" s="100">
        <f t="shared" si="5"/>
        <v>7.92</v>
      </c>
      <c r="H341" s="101"/>
      <c r="I341" s="100">
        <f>G341*H341</f>
        <v>0</v>
      </c>
      <c r="J341" s="39" t="s">
        <v>3336</v>
      </c>
      <c r="K341" s="40" t="s">
        <v>31</v>
      </c>
      <c r="L341" s="41"/>
      <c r="M341" s="42" t="str">
        <f>HYPERLINK("https://catalog.onliner.by/christmasdecor/neonnight/nn501044", "https://catalog.onliner.by/christmasdecor/neonnight/nn501044")</f>
        <v>https://catalog.onliner.by/christmasdecor/neonnight/nn501044</v>
      </c>
      <c r="N341" s="42" t="str">
        <f>HYPERLINK("https://pronto.by/catalog/product/501-044.html", "https://pronto.by/catalog/product/501-044.html")</f>
        <v>https://pronto.by/catalog/product/501-044.html</v>
      </c>
    </row>
    <row r="342" spans="1:14" customFormat="1" ht="30.6">
      <c r="A342" s="35" t="s">
        <v>872</v>
      </c>
      <c r="B342" s="19" t="s">
        <v>873</v>
      </c>
      <c r="C342" s="20" t="s">
        <v>874</v>
      </c>
      <c r="D342" s="36" t="s">
        <v>28</v>
      </c>
      <c r="E342" s="37" t="s">
        <v>3287</v>
      </c>
      <c r="F342" s="43">
        <v>7.92</v>
      </c>
      <c r="G342" s="100">
        <f t="shared" si="5"/>
        <v>7.92</v>
      </c>
      <c r="H342" s="101"/>
      <c r="I342" s="100">
        <f>G342*H342</f>
        <v>0</v>
      </c>
      <c r="J342" s="39" t="s">
        <v>3336</v>
      </c>
      <c r="K342" s="40" t="s">
        <v>31</v>
      </c>
      <c r="L342" s="41"/>
      <c r="M342" s="42" t="str">
        <f>HYPERLINK("https://catalog.onliner.by/christmasdecor/neonnight/nn501045", "https://catalog.onliner.by/christmasdecor/neonnight/nn501045")</f>
        <v>https://catalog.onliner.by/christmasdecor/neonnight/nn501045</v>
      </c>
      <c r="N342" s="42" t="str">
        <f>HYPERLINK("https://pronto.by/catalog/product/501-045.html", "https://pronto.by/catalog/product/501-045.html")</f>
        <v>https://pronto.by/catalog/product/501-045.html</v>
      </c>
    </row>
    <row r="343" spans="1:14" customFormat="1" ht="30.6">
      <c r="A343" s="35" t="s">
        <v>875</v>
      </c>
      <c r="B343" s="19" t="s">
        <v>876</v>
      </c>
      <c r="C343" s="20" t="s">
        <v>877</v>
      </c>
      <c r="D343" s="36" t="s">
        <v>28</v>
      </c>
      <c r="E343" s="37" t="s">
        <v>3288</v>
      </c>
      <c r="F343" s="43">
        <v>9.8400000000000016</v>
      </c>
      <c r="G343" s="100">
        <f t="shared" si="5"/>
        <v>9.84</v>
      </c>
      <c r="H343" s="101"/>
      <c r="I343" s="100">
        <f>G343*H343</f>
        <v>0</v>
      </c>
      <c r="J343" s="39" t="s">
        <v>3336</v>
      </c>
      <c r="K343" s="40" t="s">
        <v>31</v>
      </c>
      <c r="L343" s="41"/>
      <c r="M343" s="42" t="str">
        <f>HYPERLINK("https://catalog.onliner.by/xmaslights/neonnight/nn513022", "https://catalog.onliner.by/xmaslights/neonnight/nn513022")</f>
        <v>https://catalog.onliner.by/xmaslights/neonnight/nn513022</v>
      </c>
      <c r="N343" s="42" t="str">
        <f>HYPERLINK("https://pronto.by/catalog/product/513-022.html", "https://pronto.by/catalog/product/513-022.html")</f>
        <v>https://pronto.by/catalog/product/513-022.html</v>
      </c>
    </row>
    <row r="344" spans="1:14" customFormat="1" ht="30.6">
      <c r="A344" s="35" t="s">
        <v>878</v>
      </c>
      <c r="B344" s="19" t="s">
        <v>879</v>
      </c>
      <c r="C344" s="20" t="s">
        <v>880</v>
      </c>
      <c r="D344" s="36" t="s">
        <v>28</v>
      </c>
      <c r="E344" s="37" t="s">
        <v>3287</v>
      </c>
      <c r="F344" s="43">
        <v>16.740000000000002</v>
      </c>
      <c r="G344" s="100">
        <f t="shared" si="5"/>
        <v>16.739999999999998</v>
      </c>
      <c r="H344" s="101"/>
      <c r="I344" s="100">
        <f>G344*H344</f>
        <v>0</v>
      </c>
      <c r="J344" s="39" t="s">
        <v>3336</v>
      </c>
      <c r="K344" s="40" t="s">
        <v>31</v>
      </c>
      <c r="L344" s="41"/>
      <c r="M344" s="42" t="str">
        <f>HYPERLINK("https://catalog.onliner.by/xmaslights/neonnight/nn513023", "https://catalog.onliner.by/xmaslights/neonnight/nn513023")</f>
        <v>https://catalog.onliner.by/xmaslights/neonnight/nn513023</v>
      </c>
      <c r="N344" s="42" t="str">
        <f>HYPERLINK("https://pronto.by/catalog/product/513-023.html", "https://pronto.by/catalog/product/513-023.html")</f>
        <v>https://pronto.by/catalog/product/513-023.html</v>
      </c>
    </row>
    <row r="345" spans="1:14" customFormat="1" ht="30.6">
      <c r="A345" s="35" t="s">
        <v>881</v>
      </c>
      <c r="B345" s="19" t="s">
        <v>882</v>
      </c>
      <c r="C345" s="20" t="s">
        <v>883</v>
      </c>
      <c r="D345" s="36" t="s">
        <v>28</v>
      </c>
      <c r="E345" s="37" t="s">
        <v>3282</v>
      </c>
      <c r="F345" s="43">
        <v>25.140000000000004</v>
      </c>
      <c r="G345" s="100">
        <f t="shared" si="5"/>
        <v>25.14</v>
      </c>
      <c r="H345" s="101"/>
      <c r="I345" s="100">
        <f>G345*H345</f>
        <v>0</v>
      </c>
      <c r="J345" s="39" t="s">
        <v>3336</v>
      </c>
      <c r="K345" s="40" t="s">
        <v>31</v>
      </c>
      <c r="L345" s="41"/>
      <c r="M345" s="42" t="str">
        <f>HYPERLINK("https://catalog.onliner.by/xmaslights/neonnight/nn513024", "https://catalog.onliner.by/xmaslights/neonnight/nn513024")</f>
        <v>https://catalog.onliner.by/xmaslights/neonnight/nn513024</v>
      </c>
      <c r="N345" s="42" t="str">
        <f>HYPERLINK("https://pronto.by/catalog/product/513-024.html", "https://pronto.by/catalog/product/513-024.html")</f>
        <v>https://pronto.by/catalog/product/513-024.html</v>
      </c>
    </row>
    <row r="346" spans="1:14" customFormat="1" ht="30.6">
      <c r="A346" s="35" t="s">
        <v>884</v>
      </c>
      <c r="B346" s="19" t="s">
        <v>885</v>
      </c>
      <c r="C346" s="20" t="s">
        <v>886</v>
      </c>
      <c r="D346" s="36" t="s">
        <v>28</v>
      </c>
      <c r="E346" s="37" t="s">
        <v>3287</v>
      </c>
      <c r="F346" s="43">
        <v>7.92</v>
      </c>
      <c r="G346" s="100">
        <f t="shared" si="5"/>
        <v>7.92</v>
      </c>
      <c r="H346" s="101"/>
      <c r="I346" s="100">
        <f>G346*H346</f>
        <v>0</v>
      </c>
      <c r="J346" s="39" t="s">
        <v>3336</v>
      </c>
      <c r="K346" s="40" t="s">
        <v>31</v>
      </c>
      <c r="L346" s="41"/>
      <c r="M346" s="42" t="str">
        <f>HYPERLINK("https://catalog.onliner.by/xmaslights/neonnight/501051", "https://catalog.onliner.by/xmaslights/neonnight/501051")</f>
        <v>https://catalog.onliner.by/xmaslights/neonnight/501051</v>
      </c>
      <c r="N346" s="42" t="str">
        <f>HYPERLINK("https://pronto.by/catalog/product/501-051.html", "https://pronto.by/catalog/product/501-051.html")</f>
        <v>https://pronto.by/catalog/product/501-051.html</v>
      </c>
    </row>
    <row r="347" spans="1:14" customFormat="1" ht="41.4">
      <c r="A347" s="35" t="s">
        <v>887</v>
      </c>
      <c r="B347" s="19" t="s">
        <v>888</v>
      </c>
      <c r="C347" s="20" t="s">
        <v>889</v>
      </c>
      <c r="D347" s="36" t="s">
        <v>28</v>
      </c>
      <c r="E347" s="37" t="s">
        <v>3287</v>
      </c>
      <c r="F347" s="43">
        <v>7.92</v>
      </c>
      <c r="G347" s="100">
        <f t="shared" si="5"/>
        <v>7.92</v>
      </c>
      <c r="H347" s="101"/>
      <c r="I347" s="100">
        <f>G347*H347</f>
        <v>0</v>
      </c>
      <c r="J347" s="39" t="s">
        <v>3336</v>
      </c>
      <c r="K347" s="40" t="s">
        <v>31</v>
      </c>
      <c r="L347" s="41"/>
      <c r="M347" s="42" t="str">
        <f>HYPERLINK("https://catalog.onliner.by/xmaslights/neonnight/nn501041", "https://catalog.onliner.by/xmaslights/neonnight/nn501041")</f>
        <v>https://catalog.onliner.by/xmaslights/neonnight/nn501041</v>
      </c>
      <c r="N347" s="42" t="str">
        <f>HYPERLINK("https://pronto.by/catalog/product/501-041.html", "https://pronto.by/catalog/product/501-041.html")</f>
        <v>https://pronto.by/catalog/product/501-041.html</v>
      </c>
    </row>
    <row r="348" spans="1:14" customFormat="1" ht="30.6">
      <c r="A348" s="35" t="s">
        <v>890</v>
      </c>
      <c r="B348" s="19" t="s">
        <v>891</v>
      </c>
      <c r="C348" s="20" t="s">
        <v>892</v>
      </c>
      <c r="D348" s="36" t="s">
        <v>28</v>
      </c>
      <c r="E348" s="37" t="s">
        <v>3287</v>
      </c>
      <c r="F348" s="43">
        <v>7.92</v>
      </c>
      <c r="G348" s="100">
        <f t="shared" si="5"/>
        <v>7.92</v>
      </c>
      <c r="H348" s="101"/>
      <c r="I348" s="100">
        <f>G348*H348</f>
        <v>0</v>
      </c>
      <c r="J348" s="39" t="s">
        <v>3336</v>
      </c>
      <c r="K348" s="40" t="s">
        <v>31</v>
      </c>
      <c r="L348" s="41"/>
      <c r="M348" s="42" t="str">
        <f>HYPERLINK("https://catalog.onliner.by/xmaslights/neonnight/nn501048", "https://catalog.onliner.by/xmaslights/neonnight/nn501048")</f>
        <v>https://catalog.onliner.by/xmaslights/neonnight/nn501048</v>
      </c>
      <c r="N348" s="42" t="str">
        <f>HYPERLINK("https://pronto.by/catalog/product/501-048.html", "https://pronto.by/catalog/product/501-048.html")</f>
        <v>https://pronto.by/catalog/product/501-048.html</v>
      </c>
    </row>
    <row r="349" spans="1:14" customFormat="1" ht="30.6">
      <c r="A349" s="35" t="s">
        <v>893</v>
      </c>
      <c r="B349" s="19" t="s">
        <v>894</v>
      </c>
      <c r="C349" s="20" t="s">
        <v>895</v>
      </c>
      <c r="D349" s="36" t="s">
        <v>28</v>
      </c>
      <c r="E349" s="37" t="s">
        <v>3287</v>
      </c>
      <c r="F349" s="43">
        <v>7.92</v>
      </c>
      <c r="G349" s="100">
        <f t="shared" si="5"/>
        <v>7.92</v>
      </c>
      <c r="H349" s="101"/>
      <c r="I349" s="100">
        <f>G349*H349</f>
        <v>0</v>
      </c>
      <c r="J349" s="39" t="s">
        <v>3336</v>
      </c>
      <c r="K349" s="40" t="s">
        <v>31</v>
      </c>
      <c r="L349" s="41"/>
      <c r="M349" s="42" t="str">
        <f>HYPERLINK("https://catalog.onliner.by/christmasdecor/neonnight/nn501047", "https://catalog.onliner.by/christmasdecor/neonnight/nn501047")</f>
        <v>https://catalog.onliner.by/christmasdecor/neonnight/nn501047</v>
      </c>
      <c r="N349" s="42" t="str">
        <f>HYPERLINK("https://pronto.by/catalog/product/501-047.html", "https://pronto.by/catalog/product/501-047.html")</f>
        <v>https://pronto.by/catalog/product/501-047.html</v>
      </c>
    </row>
    <row r="350" spans="1:14" customFormat="1" ht="41.4">
      <c r="A350" s="35" t="s">
        <v>896</v>
      </c>
      <c r="B350" s="19" t="s">
        <v>897</v>
      </c>
      <c r="C350" s="20" t="s">
        <v>898</v>
      </c>
      <c r="D350" s="36" t="s">
        <v>28</v>
      </c>
      <c r="E350" s="37" t="s">
        <v>3287</v>
      </c>
      <c r="F350" s="43">
        <v>7.14</v>
      </c>
      <c r="G350" s="100">
        <f t="shared" si="5"/>
        <v>7.14</v>
      </c>
      <c r="H350" s="101"/>
      <c r="I350" s="100">
        <f>G350*H350</f>
        <v>0</v>
      </c>
      <c r="J350" s="39" t="s">
        <v>3336</v>
      </c>
      <c r="K350" s="40" t="s">
        <v>31</v>
      </c>
      <c r="L350" s="41"/>
      <c r="M350" s="42" t="str">
        <f>HYPERLINK("https://catalog.onliner.by/xmaslights/neonnight/501052501052", "https://catalog.onliner.by/xmaslights/neonnight/501052501052")</f>
        <v>https://catalog.onliner.by/xmaslights/neonnight/501052501052</v>
      </c>
      <c r="N350" s="42" t="str">
        <f>HYPERLINK("https://pronto.by/catalog/product/501-052.html", "https://pronto.by/catalog/product/501-052.html")</f>
        <v>https://pronto.by/catalog/product/501-052.html</v>
      </c>
    </row>
    <row r="351" spans="1:14" customFormat="1" ht="30.6">
      <c r="A351" s="35" t="s">
        <v>899</v>
      </c>
      <c r="B351" s="19" t="s">
        <v>900</v>
      </c>
      <c r="C351" s="20" t="s">
        <v>901</v>
      </c>
      <c r="D351" s="36" t="s">
        <v>28</v>
      </c>
      <c r="E351" s="37" t="s">
        <v>3287</v>
      </c>
      <c r="F351" s="43">
        <v>7.86</v>
      </c>
      <c r="G351" s="100">
        <f t="shared" si="5"/>
        <v>7.86</v>
      </c>
      <c r="H351" s="101"/>
      <c r="I351" s="100">
        <f>G351*H351</f>
        <v>0</v>
      </c>
      <c r="J351" s="39" t="s">
        <v>3336</v>
      </c>
      <c r="K351" s="40" t="s">
        <v>31</v>
      </c>
      <c r="L351" s="41"/>
      <c r="M351" s="42" t="str">
        <f>HYPERLINK("https://catalog.onliner.by/xmaslights/neonnight/nn501040", "https://catalog.onliner.by/xmaslights/neonnight/nn501040")</f>
        <v>https://catalog.onliner.by/xmaslights/neonnight/nn501040</v>
      </c>
      <c r="N351" s="42" t="str">
        <f>HYPERLINK("https://pronto.by/catalog/product/501-040.html", "https://pronto.by/catalog/product/501-040.html")</f>
        <v>https://pronto.by/catalog/product/501-040.html</v>
      </c>
    </row>
    <row r="352" spans="1:14" customFormat="1" ht="41.4">
      <c r="A352" s="35" t="s">
        <v>902</v>
      </c>
      <c r="B352" s="19" t="s">
        <v>903</v>
      </c>
      <c r="C352" s="20" t="s">
        <v>904</v>
      </c>
      <c r="D352" s="36" t="s">
        <v>28</v>
      </c>
      <c r="E352" s="37" t="s">
        <v>3287</v>
      </c>
      <c r="F352" s="43">
        <v>7.92</v>
      </c>
      <c r="G352" s="100">
        <f t="shared" si="5"/>
        <v>7.92</v>
      </c>
      <c r="H352" s="101"/>
      <c r="I352" s="100">
        <f>G352*H352</f>
        <v>0</v>
      </c>
      <c r="J352" s="39" t="s">
        <v>3336</v>
      </c>
      <c r="K352" s="40" t="s">
        <v>31</v>
      </c>
      <c r="L352" s="41"/>
      <c r="M352" s="42" t="str">
        <f>HYPERLINK("https://catalog.onliner.by/christmasdecor/neonnight/nn501043", "https://catalog.onliner.by/christmasdecor/neonnight/nn501043")</f>
        <v>https://catalog.onliner.by/christmasdecor/neonnight/nn501043</v>
      </c>
      <c r="N352" s="42" t="str">
        <f>HYPERLINK("https://pronto.by/catalog/product/501-043.html", "https://pronto.by/catalog/product/501-043.html")</f>
        <v>https://pronto.by/catalog/product/501-043.html</v>
      </c>
    </row>
    <row r="353" spans="1:14" customFormat="1" ht="41.4">
      <c r="A353" s="35" t="s">
        <v>905</v>
      </c>
      <c r="B353" s="19" t="s">
        <v>906</v>
      </c>
      <c r="C353" s="20" t="s">
        <v>907</v>
      </c>
      <c r="D353" s="36" t="s">
        <v>28</v>
      </c>
      <c r="E353" s="37" t="s">
        <v>3287</v>
      </c>
      <c r="F353" s="43">
        <v>8.16</v>
      </c>
      <c r="G353" s="100">
        <f t="shared" si="5"/>
        <v>8.16</v>
      </c>
      <c r="H353" s="101"/>
      <c r="I353" s="100">
        <f>G353*H353</f>
        <v>0</v>
      </c>
      <c r="J353" s="39" t="s">
        <v>3336</v>
      </c>
      <c r="K353" s="40" t="s">
        <v>31</v>
      </c>
      <c r="L353" s="41"/>
      <c r="M353" s="42" t="str">
        <f>HYPERLINK("https://catalog.onliner.by/christmasdecor/neonnight/501054501054", "https://catalog.onliner.by/christmasdecor/neonnight/501054501054")</f>
        <v>https://catalog.onliner.by/christmasdecor/neonnight/501054501054</v>
      </c>
      <c r="N353" s="42" t="str">
        <f>HYPERLINK("https://pronto.by/catalog/product/501-054.html", "https://pronto.by/catalog/product/501-054.html")</f>
        <v>https://pronto.by/catalog/product/501-054.html</v>
      </c>
    </row>
    <row r="354" spans="1:14" customFormat="1" ht="41.4">
      <c r="A354" s="35" t="s">
        <v>908</v>
      </c>
      <c r="B354" s="19" t="s">
        <v>909</v>
      </c>
      <c r="C354" s="20" t="s">
        <v>910</v>
      </c>
      <c r="D354" s="36" t="s">
        <v>28</v>
      </c>
      <c r="E354" s="37" t="s">
        <v>3287</v>
      </c>
      <c r="F354" s="43">
        <v>7.92</v>
      </c>
      <c r="G354" s="100">
        <f t="shared" si="5"/>
        <v>7.92</v>
      </c>
      <c r="H354" s="101"/>
      <c r="I354" s="100">
        <f>G354*H354</f>
        <v>0</v>
      </c>
      <c r="J354" s="39" t="s">
        <v>3336</v>
      </c>
      <c r="K354" s="40" t="s">
        <v>31</v>
      </c>
      <c r="L354" s="41"/>
      <c r="M354" s="42" t="str">
        <f>HYPERLINK("https://catalog.onliner.by/christmasdecor/neonnight/501053501053", "https://catalog.onliner.by/christmasdecor/neonnight/501053501053")</f>
        <v>https://catalog.onliner.by/christmasdecor/neonnight/501053501053</v>
      </c>
      <c r="N354" s="42" t="str">
        <f>HYPERLINK("https://pronto.by/catalog/product/501-053.html", "https://pronto.by/catalog/product/501-053.html")</f>
        <v>https://pronto.by/catalog/product/501-053.html</v>
      </c>
    </row>
    <row r="355" spans="1:14" customFormat="1" ht="30.6">
      <c r="A355" s="35" t="s">
        <v>911</v>
      </c>
      <c r="B355" s="19" t="s">
        <v>912</v>
      </c>
      <c r="C355" s="20" t="s">
        <v>913</v>
      </c>
      <c r="D355" s="36" t="s">
        <v>28</v>
      </c>
      <c r="E355" s="37" t="s">
        <v>3287</v>
      </c>
      <c r="F355" s="43">
        <v>7.92</v>
      </c>
      <c r="G355" s="100">
        <f t="shared" si="5"/>
        <v>7.92</v>
      </c>
      <c r="H355" s="101"/>
      <c r="I355" s="100">
        <f>G355*H355</f>
        <v>0</v>
      </c>
      <c r="J355" s="39" t="s">
        <v>3336</v>
      </c>
      <c r="K355" s="40" t="s">
        <v>31</v>
      </c>
      <c r="L355" s="41"/>
      <c r="M355" s="42" t="str">
        <f>HYPERLINK("https://catalog.onliner.by/christmasdecor/neonnight/501055501055", "https://catalog.onliner.by/christmasdecor/neonnight/501055501055")</f>
        <v>https://catalog.onliner.by/christmasdecor/neonnight/501055501055</v>
      </c>
      <c r="N355" s="42" t="str">
        <f>HYPERLINK("https://pronto.by/catalog/product/501-055.html", "https://pronto.by/catalog/product/501-055.html")</f>
        <v>https://pronto.by/catalog/product/501-055.html</v>
      </c>
    </row>
    <row r="356" spans="1:14" customFormat="1" ht="30.6">
      <c r="A356" s="35" t="s">
        <v>914</v>
      </c>
      <c r="B356" s="19" t="s">
        <v>915</v>
      </c>
      <c r="C356" s="20" t="s">
        <v>916</v>
      </c>
      <c r="D356" s="36" t="s">
        <v>28</v>
      </c>
      <c r="E356" s="37" t="s">
        <v>3277</v>
      </c>
      <c r="F356" s="43">
        <v>16.740000000000002</v>
      </c>
      <c r="G356" s="100">
        <f t="shared" si="5"/>
        <v>16.739999999999998</v>
      </c>
      <c r="H356" s="101"/>
      <c r="I356" s="100">
        <f>G356*H356</f>
        <v>0</v>
      </c>
      <c r="J356" s="39" t="s">
        <v>3336</v>
      </c>
      <c r="K356" s="40" t="s">
        <v>31</v>
      </c>
      <c r="L356" s="41"/>
      <c r="M356" s="42" t="str">
        <f>HYPERLINK("https://catalog.onliner.by/christmasdecor/neonnight/513032", "https://catalog.onliner.by/christmasdecor/neonnight/513032")</f>
        <v>https://catalog.onliner.by/christmasdecor/neonnight/513032</v>
      </c>
      <c r="N356" s="42" t="str">
        <f>HYPERLINK("https://pronto.by/catalog/product/513-032.html", "https://pronto.by/catalog/product/513-032.html")</f>
        <v>https://pronto.by/catalog/product/513-032.html</v>
      </c>
    </row>
    <row r="357" spans="1:14" customFormat="1" ht="30.6">
      <c r="A357" s="35" t="s">
        <v>917</v>
      </c>
      <c r="B357" s="19" t="s">
        <v>918</v>
      </c>
      <c r="C357" s="20" t="s">
        <v>919</v>
      </c>
      <c r="D357" s="36" t="s">
        <v>28</v>
      </c>
      <c r="E357" s="37" t="s">
        <v>3282</v>
      </c>
      <c r="F357" s="43">
        <v>64.98</v>
      </c>
      <c r="G357" s="100">
        <f t="shared" si="5"/>
        <v>64.98</v>
      </c>
      <c r="H357" s="101"/>
      <c r="I357" s="100">
        <f>G357*H357</f>
        <v>0</v>
      </c>
      <c r="J357" s="39" t="s">
        <v>3336</v>
      </c>
      <c r="K357" s="40" t="s">
        <v>31</v>
      </c>
      <c r="L357" s="41"/>
      <c r="M357" s="42" t="str">
        <f>HYPERLINK("https://catalog.onliner.by/christmasdecor/neonnight/513026", "https://catalog.onliner.by/christmasdecor/neonnight/513026")</f>
        <v>https://catalog.onliner.by/christmasdecor/neonnight/513026</v>
      </c>
      <c r="N357" s="42" t="str">
        <f>HYPERLINK("https://pronto.by/catalog/product/513-026.html", "https://pronto.by/catalog/product/513-026.html")</f>
        <v>https://pronto.by/catalog/product/513-026.html</v>
      </c>
    </row>
    <row r="358" spans="1:14" customFormat="1" ht="55.2">
      <c r="A358" s="35" t="s">
        <v>920</v>
      </c>
      <c r="B358" s="19" t="s">
        <v>921</v>
      </c>
      <c r="C358" s="20" t="s">
        <v>922</v>
      </c>
      <c r="D358" s="36" t="s">
        <v>28</v>
      </c>
      <c r="E358" s="37"/>
      <c r="F358" s="43">
        <v>86.820000000000007</v>
      </c>
      <c r="G358" s="100">
        <f t="shared" si="5"/>
        <v>86.82</v>
      </c>
      <c r="H358" s="101"/>
      <c r="I358" s="100">
        <f>G358*H358</f>
        <v>0</v>
      </c>
      <c r="J358" s="39" t="s">
        <v>3336</v>
      </c>
      <c r="K358" s="40" t="s">
        <v>31</v>
      </c>
      <c r="L358" s="41"/>
      <c r="M358" s="42" t="s">
        <v>923</v>
      </c>
      <c r="N358" s="83" t="s">
        <v>3467</v>
      </c>
    </row>
    <row r="359" spans="1:14" customFormat="1" ht="71.400000000000006">
      <c r="A359" s="35" t="s">
        <v>924</v>
      </c>
      <c r="B359" s="19" t="s">
        <v>925</v>
      </c>
      <c r="C359" s="20" t="s">
        <v>926</v>
      </c>
      <c r="D359" s="36" t="s">
        <v>28</v>
      </c>
      <c r="E359" s="37" t="s">
        <v>3308</v>
      </c>
      <c r="F359" s="43">
        <v>64.98</v>
      </c>
      <c r="G359" s="100">
        <f t="shared" si="5"/>
        <v>64.98</v>
      </c>
      <c r="H359" s="101"/>
      <c r="I359" s="100">
        <f>G359*H359</f>
        <v>0</v>
      </c>
      <c r="J359" s="39" t="s">
        <v>3336</v>
      </c>
      <c r="K359" s="40" t="s">
        <v>31</v>
      </c>
      <c r="L359" s="41"/>
      <c r="M359" s="42" t="s">
        <v>927</v>
      </c>
      <c r="N359" s="42" t="str">
        <f>HYPERLINK("https://pronto.by/catalog/prazdnichnaya-svetotehnika/home-konechnye-potrebiteli/figury-interernye/nastolnye-figurki/513-027.html", "https://pronto.by/catalog/prazdnichnaya-svetotehnika/home-konechnye-potrebiteli/figury-interernye/nastolnye-figurki/513-027.html")</f>
        <v>https://pronto.by/catalog/prazdnichnaya-svetotehnika/home-konechnye-potrebiteli/figury-interernye/nastolnye-figurki/513-027.html</v>
      </c>
    </row>
    <row r="360" spans="1:14" customFormat="1" ht="30.6">
      <c r="A360" s="35" t="s">
        <v>928</v>
      </c>
      <c r="B360" s="19" t="s">
        <v>929</v>
      </c>
      <c r="C360" s="20" t="s">
        <v>930</v>
      </c>
      <c r="D360" s="36" t="s">
        <v>28</v>
      </c>
      <c r="E360" s="37" t="s">
        <v>3304</v>
      </c>
      <c r="F360" s="43">
        <v>114.6</v>
      </c>
      <c r="G360" s="100">
        <f t="shared" si="5"/>
        <v>114.6</v>
      </c>
      <c r="H360" s="101"/>
      <c r="I360" s="100">
        <f>G360*H360</f>
        <v>0</v>
      </c>
      <c r="J360" s="39" t="s">
        <v>3336</v>
      </c>
      <c r="K360" s="40" t="s">
        <v>31</v>
      </c>
      <c r="L360" s="41"/>
      <c r="M360" s="42" t="str">
        <f>HYPERLINK("https://catalog.onliner.by/christmasdecor/neonnight/513033", "https://catalog.onliner.by/christmasdecor/neonnight/513033")</f>
        <v>https://catalog.onliner.by/christmasdecor/neonnight/513033</v>
      </c>
      <c r="N360" s="42" t="str">
        <f>HYPERLINK("https://pronto.by/catalog/product/513-033.html", "https://pronto.by/catalog/product/513-033.html")</f>
        <v>https://pronto.by/catalog/product/513-033.html</v>
      </c>
    </row>
    <row r="361" spans="1:14" customFormat="1" ht="41.4">
      <c r="A361" s="35" t="s">
        <v>931</v>
      </c>
      <c r="B361" s="19" t="s">
        <v>932</v>
      </c>
      <c r="C361" s="20" t="s">
        <v>933</v>
      </c>
      <c r="D361" s="36" t="s">
        <v>28</v>
      </c>
      <c r="E361" s="37" t="s">
        <v>3272</v>
      </c>
      <c r="F361" s="43">
        <v>33.18</v>
      </c>
      <c r="G361" s="100">
        <f t="shared" si="5"/>
        <v>33.18</v>
      </c>
      <c r="H361" s="101"/>
      <c r="I361" s="100">
        <f>G361*H361</f>
        <v>0</v>
      </c>
      <c r="J361" s="39" t="s">
        <v>3336</v>
      </c>
      <c r="K361" s="40" t="s">
        <v>31</v>
      </c>
      <c r="L361" s="41"/>
      <c r="M361" s="42" t="str">
        <f>HYPERLINK("https://catalog.onliner.by/xmaslights/neonnight/501003", "https://catalog.onliner.by/xmaslights/neonnight/501003")</f>
        <v>https://catalog.onliner.by/xmaslights/neonnight/501003</v>
      </c>
      <c r="N361" s="42" t="str">
        <f>HYPERLINK("https://pronto.by/catalog/product/501-003.html", "https://pronto.by/catalog/product/501-003.html")</f>
        <v>https://pronto.by/catalog/product/501-003.html</v>
      </c>
    </row>
    <row r="362" spans="1:14" customFormat="1" ht="71.400000000000006">
      <c r="A362" s="35" t="s">
        <v>934</v>
      </c>
      <c r="B362" s="19" t="s">
        <v>935</v>
      </c>
      <c r="C362" s="20" t="s">
        <v>936</v>
      </c>
      <c r="D362" s="36" t="s">
        <v>28</v>
      </c>
      <c r="E362" s="37" t="s">
        <v>3272</v>
      </c>
      <c r="F362" s="43">
        <v>33.18</v>
      </c>
      <c r="G362" s="100">
        <f t="shared" si="5"/>
        <v>33.18</v>
      </c>
      <c r="H362" s="101"/>
      <c r="I362" s="100">
        <f>G362*H362</f>
        <v>0</v>
      </c>
      <c r="J362" s="39" t="s">
        <v>3336</v>
      </c>
      <c r="K362" s="40" t="s">
        <v>31</v>
      </c>
      <c r="L362" s="41"/>
      <c r="M362" s="42" t="str">
        <f>HYPERLINK("https://catalog.onliner.by/xmaslights/neonnight/neon501004", "https://catalog.onliner.by/xmaslights/neonnight/neon501004")</f>
        <v>https://catalog.onliner.by/xmaslights/neonnight/neon501004</v>
      </c>
      <c r="N362" s="42" t="str">
        <f>HYPERLINK("https://pronto.by/catalog/prazdnichnaya-svetotehnika/home-konechnye-potrebiteli/figury-interernye/nastolnye-figurki/501-004.html", "https://pronto.by/catalog/prazdnichnaya-svetotehnika/home-konechnye-potrebiteli/figury-interernye/nastolnye-figurki/501-004.html")</f>
        <v>https://pronto.by/catalog/prazdnichnaya-svetotehnika/home-konechnye-potrebiteli/figury-interernye/nastolnye-figurki/501-004.html</v>
      </c>
    </row>
    <row r="363" spans="1:14" customFormat="1" ht="30.6">
      <c r="A363" s="35" t="s">
        <v>937</v>
      </c>
      <c r="B363" s="19" t="s">
        <v>938</v>
      </c>
      <c r="C363" s="20" t="s">
        <v>939</v>
      </c>
      <c r="D363" s="36" t="s">
        <v>28</v>
      </c>
      <c r="E363" s="37" t="s">
        <v>3258</v>
      </c>
      <c r="F363" s="43">
        <v>10.860000000000001</v>
      </c>
      <c r="G363" s="100">
        <f t="shared" si="5"/>
        <v>10.86</v>
      </c>
      <c r="H363" s="101"/>
      <c r="I363" s="100">
        <f>G363*H363</f>
        <v>0</v>
      </c>
      <c r="J363" s="39" t="s">
        <v>3336</v>
      </c>
      <c r="K363" s="40" t="s">
        <v>31</v>
      </c>
      <c r="L363" s="41"/>
      <c r="M363" s="42" t="str">
        <f>HYPERLINK("https://catalog.onliner.by/xmaslights/neonnight/nn513019", "https://catalog.onliner.by/xmaslights/neonnight/nn513019")</f>
        <v>https://catalog.onliner.by/xmaslights/neonnight/nn513019</v>
      </c>
      <c r="N363" s="42" t="str">
        <f>HYPERLINK("https://pronto.by/catalog/product/513-019.html", "https://pronto.by/catalog/product/513-019.html")</f>
        <v>https://pronto.by/catalog/product/513-019.html</v>
      </c>
    </row>
    <row r="364" spans="1:14" customFormat="1" ht="62.4">
      <c r="A364" s="35" t="s">
        <v>940</v>
      </c>
      <c r="B364" s="19" t="s">
        <v>941</v>
      </c>
      <c r="C364" s="20" t="s">
        <v>942</v>
      </c>
      <c r="D364" s="36" t="s">
        <v>28</v>
      </c>
      <c r="E364" s="37" t="s">
        <v>3258</v>
      </c>
      <c r="F364" s="43">
        <v>13.74</v>
      </c>
      <c r="G364" s="100">
        <f t="shared" si="5"/>
        <v>13.74</v>
      </c>
      <c r="H364" s="101"/>
      <c r="I364" s="100">
        <f>G364*H364</f>
        <v>0</v>
      </c>
      <c r="J364" s="39" t="s">
        <v>3336</v>
      </c>
      <c r="K364" s="40" t="s">
        <v>31</v>
      </c>
      <c r="L364" s="41" t="s">
        <v>3468</v>
      </c>
      <c r="M364" s="42" t="str">
        <f>HYPERLINK("https://catalog.onliner.by/christmasdecor/neonnight/513018", "https://catalog.onliner.by/christmasdecor/neonnight/513018")</f>
        <v>https://catalog.onliner.by/christmasdecor/neonnight/513018</v>
      </c>
      <c r="N364" s="42" t="str">
        <f>HYPERLINK("https://pronto.by/catalog/product/513-018.html", "https://pronto.by/catalog/product/513-018.html")</f>
        <v>https://pronto.by/catalog/product/513-018.html</v>
      </c>
    </row>
    <row r="365" spans="1:14" customFormat="1" ht="55.2">
      <c r="A365" s="53" t="s">
        <v>3469</v>
      </c>
      <c r="B365" s="19" t="s">
        <v>3470</v>
      </c>
      <c r="C365" s="20" t="s">
        <v>3471</v>
      </c>
      <c r="D365" s="36" t="s">
        <v>28</v>
      </c>
      <c r="E365" s="37" t="s">
        <v>3281</v>
      </c>
      <c r="F365" s="43">
        <v>33.24</v>
      </c>
      <c r="G365" s="100">
        <f t="shared" si="5"/>
        <v>33.24</v>
      </c>
      <c r="H365" s="101"/>
      <c r="I365" s="100">
        <f>G365*H365</f>
        <v>0</v>
      </c>
      <c r="J365" s="39" t="s">
        <v>3336</v>
      </c>
      <c r="K365" s="40"/>
      <c r="L365" s="41"/>
      <c r="M365" s="44"/>
      <c r="N365" s="44"/>
    </row>
    <row r="366" spans="1:14" customFormat="1" ht="55.2">
      <c r="A366" s="53" t="s">
        <v>3472</v>
      </c>
      <c r="B366" s="19" t="s">
        <v>3473</v>
      </c>
      <c r="C366" s="20" t="s">
        <v>3474</v>
      </c>
      <c r="D366" s="36" t="s">
        <v>28</v>
      </c>
      <c r="E366" s="37" t="s">
        <v>3290</v>
      </c>
      <c r="F366" s="43">
        <v>43.32</v>
      </c>
      <c r="G366" s="100">
        <f t="shared" si="5"/>
        <v>43.32</v>
      </c>
      <c r="H366" s="101"/>
      <c r="I366" s="100">
        <f>G366*H366</f>
        <v>0</v>
      </c>
      <c r="J366" s="39" t="s">
        <v>3336</v>
      </c>
      <c r="K366" s="40"/>
      <c r="L366" s="41"/>
      <c r="M366" s="44"/>
      <c r="N366" s="44"/>
    </row>
    <row r="367" spans="1:14" customFormat="1" ht="55.2">
      <c r="A367" s="53" t="s">
        <v>3475</v>
      </c>
      <c r="B367" s="19" t="s">
        <v>3476</v>
      </c>
      <c r="C367" s="20" t="s">
        <v>3477</v>
      </c>
      <c r="D367" s="36" t="s">
        <v>28</v>
      </c>
      <c r="E367" s="37" t="s">
        <v>3290</v>
      </c>
      <c r="F367" s="43">
        <v>50.04</v>
      </c>
      <c r="G367" s="100">
        <f t="shared" si="5"/>
        <v>50.04</v>
      </c>
      <c r="H367" s="101"/>
      <c r="I367" s="100">
        <f>G367*H367</f>
        <v>0</v>
      </c>
      <c r="J367" s="39" t="s">
        <v>3336</v>
      </c>
      <c r="K367" s="40"/>
      <c r="L367" s="41"/>
      <c r="M367" s="44"/>
      <c r="N367" s="44"/>
    </row>
    <row r="368" spans="1:14" customFormat="1" ht="55.2">
      <c r="A368" s="53" t="s">
        <v>3478</v>
      </c>
      <c r="B368" s="19" t="s">
        <v>3479</v>
      </c>
      <c r="C368" s="20" t="s">
        <v>3480</v>
      </c>
      <c r="D368" s="36" t="s">
        <v>28</v>
      </c>
      <c r="E368" s="37" t="s">
        <v>3290</v>
      </c>
      <c r="F368" s="43">
        <v>100.8</v>
      </c>
      <c r="G368" s="100">
        <f t="shared" si="5"/>
        <v>100.8</v>
      </c>
      <c r="H368" s="101"/>
      <c r="I368" s="100">
        <f>G368*H368</f>
        <v>0</v>
      </c>
      <c r="J368" s="39" t="s">
        <v>3336</v>
      </c>
      <c r="K368" s="40"/>
      <c r="L368" s="41"/>
      <c r="M368" s="44"/>
      <c r="N368" s="44"/>
    </row>
    <row r="369" spans="1:14" customFormat="1" ht="69">
      <c r="A369" s="53" t="s">
        <v>3481</v>
      </c>
      <c r="B369" s="19" t="s">
        <v>3482</v>
      </c>
      <c r="C369" s="20" t="s">
        <v>3483</v>
      </c>
      <c r="D369" s="36" t="s">
        <v>28</v>
      </c>
      <c r="E369" s="37" t="s">
        <v>3290</v>
      </c>
      <c r="F369" s="43">
        <v>218.04000000000002</v>
      </c>
      <c r="G369" s="100">
        <f t="shared" si="5"/>
        <v>218.04</v>
      </c>
      <c r="H369" s="101"/>
      <c r="I369" s="100">
        <f>G369*H369</f>
        <v>0</v>
      </c>
      <c r="J369" s="39" t="s">
        <v>3336</v>
      </c>
      <c r="K369" s="40"/>
      <c r="L369" s="41"/>
      <c r="M369" s="44"/>
      <c r="N369" s="44"/>
    </row>
    <row r="370" spans="1:14" customFormat="1" ht="69">
      <c r="A370" s="53" t="s">
        <v>3484</v>
      </c>
      <c r="B370" s="19" t="s">
        <v>3485</v>
      </c>
      <c r="C370" s="20" t="s">
        <v>3486</v>
      </c>
      <c r="D370" s="36" t="s">
        <v>28</v>
      </c>
      <c r="E370" s="37" t="s">
        <v>3290</v>
      </c>
      <c r="F370" s="43">
        <v>218.04000000000002</v>
      </c>
      <c r="G370" s="100">
        <f t="shared" si="5"/>
        <v>218.04</v>
      </c>
      <c r="H370" s="101"/>
      <c r="I370" s="100">
        <f>G370*H370</f>
        <v>0</v>
      </c>
      <c r="J370" s="39" t="s">
        <v>3336</v>
      </c>
      <c r="K370" s="40"/>
      <c r="L370" s="41"/>
      <c r="M370" s="44"/>
      <c r="N370" s="44"/>
    </row>
    <row r="371" spans="1:14" customFormat="1" ht="55.2">
      <c r="A371" s="53" t="s">
        <v>3487</v>
      </c>
      <c r="B371" s="19" t="s">
        <v>3488</v>
      </c>
      <c r="C371" s="20" t="s">
        <v>3489</v>
      </c>
      <c r="D371" s="36" t="s">
        <v>28</v>
      </c>
      <c r="E371" s="37"/>
      <c r="F371" s="43">
        <v>41.58</v>
      </c>
      <c r="G371" s="100">
        <f t="shared" si="5"/>
        <v>41.58</v>
      </c>
      <c r="H371" s="101"/>
      <c r="I371" s="100">
        <f>G371*H371</f>
        <v>0</v>
      </c>
      <c r="J371" s="39" t="s">
        <v>3336</v>
      </c>
      <c r="K371" s="40"/>
      <c r="L371" s="41"/>
      <c r="M371" s="44"/>
      <c r="N371" s="44"/>
    </row>
    <row r="372" spans="1:14" customFormat="1" ht="55.2">
      <c r="A372" s="53" t="s">
        <v>3490</v>
      </c>
      <c r="B372" s="19" t="s">
        <v>3491</v>
      </c>
      <c r="C372" s="20" t="s">
        <v>3492</v>
      </c>
      <c r="D372" s="36" t="s">
        <v>28</v>
      </c>
      <c r="E372" s="37"/>
      <c r="F372" s="43">
        <v>12.540000000000001</v>
      </c>
      <c r="G372" s="100">
        <f t="shared" si="5"/>
        <v>12.54</v>
      </c>
      <c r="H372" s="101"/>
      <c r="I372" s="100">
        <f>G372*H372</f>
        <v>0</v>
      </c>
      <c r="J372" s="39" t="s">
        <v>3336</v>
      </c>
      <c r="K372" s="40"/>
      <c r="L372" s="41"/>
      <c r="M372" s="44"/>
      <c r="N372" s="44"/>
    </row>
    <row r="373" spans="1:14" customFormat="1" ht="41.4">
      <c r="A373" s="53" t="s">
        <v>3493</v>
      </c>
      <c r="B373" s="19" t="s">
        <v>3494</v>
      </c>
      <c r="C373" s="20" t="s">
        <v>3495</v>
      </c>
      <c r="D373" s="36" t="s">
        <v>28</v>
      </c>
      <c r="E373" s="37"/>
      <c r="F373" s="43">
        <v>111.54</v>
      </c>
      <c r="G373" s="100">
        <f t="shared" si="5"/>
        <v>111.54</v>
      </c>
      <c r="H373" s="101"/>
      <c r="I373" s="100">
        <f>G373*H373</f>
        <v>0</v>
      </c>
      <c r="J373" s="39" t="s">
        <v>3336</v>
      </c>
      <c r="K373" s="40"/>
      <c r="L373" s="41"/>
      <c r="M373" s="44"/>
      <c r="N373" s="44"/>
    </row>
    <row r="374" spans="1:14" customFormat="1" ht="55.2">
      <c r="A374" s="53" t="s">
        <v>3496</v>
      </c>
      <c r="B374" s="19" t="s">
        <v>3497</v>
      </c>
      <c r="C374" s="20" t="s">
        <v>3498</v>
      </c>
      <c r="D374" s="36" t="s">
        <v>28</v>
      </c>
      <c r="E374" s="37"/>
      <c r="F374" s="43">
        <v>54.180000000000007</v>
      </c>
      <c r="G374" s="100">
        <f t="shared" si="5"/>
        <v>54.18</v>
      </c>
      <c r="H374" s="101"/>
      <c r="I374" s="100">
        <f>G374*H374</f>
        <v>0</v>
      </c>
      <c r="J374" s="39" t="s">
        <v>3336</v>
      </c>
      <c r="K374" s="40"/>
      <c r="L374" s="41"/>
      <c r="M374" s="44"/>
      <c r="N374" s="44"/>
    </row>
    <row r="375" spans="1:14" customFormat="1" ht="27.6">
      <c r="A375" s="35" t="s">
        <v>943</v>
      </c>
      <c r="B375" s="19" t="s">
        <v>944</v>
      </c>
      <c r="C375" s="20" t="s">
        <v>945</v>
      </c>
      <c r="D375" s="36" t="s">
        <v>28</v>
      </c>
      <c r="E375" s="37" t="s">
        <v>3282</v>
      </c>
      <c r="F375" s="43">
        <v>25.62</v>
      </c>
      <c r="G375" s="100">
        <f t="shared" si="5"/>
        <v>25.62</v>
      </c>
      <c r="H375" s="101"/>
      <c r="I375" s="100">
        <f>G375*H375</f>
        <v>0</v>
      </c>
      <c r="J375" s="39" t="s">
        <v>3336</v>
      </c>
      <c r="K375" s="40" t="s">
        <v>31</v>
      </c>
      <c r="L375" s="41"/>
      <c r="M375" s="44" t="e">
        <f>VLOOKUP(A375,#REF!,4,0)</f>
        <v>#REF!</v>
      </c>
      <c r="N375" s="42" t="str">
        <f>HYPERLINK("https://pronto.by/catalog/product/513-014.html", "https://pronto.by/catalog/product/513-014.html")</f>
        <v>https://pronto.by/catalog/product/513-014.html</v>
      </c>
    </row>
    <row r="376" spans="1:14" customFormat="1" ht="30.6">
      <c r="A376" s="35" t="s">
        <v>946</v>
      </c>
      <c r="B376" s="19" t="s">
        <v>947</v>
      </c>
      <c r="C376" s="20" t="s">
        <v>948</v>
      </c>
      <c r="D376" s="36" t="s">
        <v>28</v>
      </c>
      <c r="E376" s="37" t="s">
        <v>3277</v>
      </c>
      <c r="F376" s="43">
        <v>13.74</v>
      </c>
      <c r="G376" s="100">
        <f t="shared" si="5"/>
        <v>13.74</v>
      </c>
      <c r="H376" s="101"/>
      <c r="I376" s="100">
        <f>G376*H376</f>
        <v>0</v>
      </c>
      <c r="J376" s="39" t="s">
        <v>3336</v>
      </c>
      <c r="K376" s="40" t="s">
        <v>31</v>
      </c>
      <c r="L376" s="41"/>
      <c r="M376" s="42" t="str">
        <f>HYPERLINK("https://catalog.onliner.by/christmasdecor/neonnight/513012", "https://catalog.onliner.by/christmasdecor/neonnight/513012")</f>
        <v>https://catalog.onliner.by/christmasdecor/neonnight/513012</v>
      </c>
      <c r="N376" s="42" t="str">
        <f>HYPERLINK("https://pronto.by/catalog/product/513-012.html", "https://pronto.by/catalog/product/513-012.html")</f>
        <v>https://pronto.by/catalog/product/513-012.html</v>
      </c>
    </row>
    <row r="377" spans="1:14" customFormat="1" ht="30.6">
      <c r="A377" s="35" t="s">
        <v>949</v>
      </c>
      <c r="B377" s="19" t="s">
        <v>950</v>
      </c>
      <c r="C377" s="20" t="s">
        <v>951</v>
      </c>
      <c r="D377" s="36" t="s">
        <v>28</v>
      </c>
      <c r="E377" s="37" t="s">
        <v>3279</v>
      </c>
      <c r="F377" s="43">
        <v>10.860000000000001</v>
      </c>
      <c r="G377" s="100">
        <f t="shared" si="5"/>
        <v>10.86</v>
      </c>
      <c r="H377" s="101"/>
      <c r="I377" s="100">
        <f>G377*H377</f>
        <v>0</v>
      </c>
      <c r="J377" s="39" t="s">
        <v>3336</v>
      </c>
      <c r="K377" s="40" t="s">
        <v>31</v>
      </c>
      <c r="L377" s="41"/>
      <c r="M377" s="42" t="str">
        <f>HYPERLINK("https://catalog.onliner.by/christmasdecor/neonnight/513011", "https://catalog.onliner.by/christmasdecor/neonnight/513011")</f>
        <v>https://catalog.onliner.by/christmasdecor/neonnight/513011</v>
      </c>
      <c r="N377" s="42" t="str">
        <f>HYPERLINK("https://pronto.by/catalog/product/513-011.html", "https://pronto.by/catalog/product/513-011.html")</f>
        <v>https://pronto.by/catalog/product/513-011.html</v>
      </c>
    </row>
    <row r="378" spans="1:14" customFormat="1" ht="15.6">
      <c r="A378" s="80" t="s">
        <v>3499</v>
      </c>
      <c r="B378" s="67"/>
      <c r="C378" s="67"/>
      <c r="D378" s="32"/>
      <c r="E378" s="32"/>
      <c r="F378" s="32"/>
      <c r="G378" s="52"/>
      <c r="H378" s="52"/>
      <c r="I378" s="52"/>
      <c r="J378" s="32"/>
      <c r="K378" s="32"/>
      <c r="L378" s="33"/>
      <c r="M378" s="33"/>
      <c r="N378" s="34"/>
    </row>
    <row r="379" spans="1:14" customFormat="1" ht="62.4">
      <c r="A379" s="35" t="s">
        <v>952</v>
      </c>
      <c r="B379" s="19" t="s">
        <v>953</v>
      </c>
      <c r="C379" s="20" t="s">
        <v>954</v>
      </c>
      <c r="D379" s="36" t="s">
        <v>28</v>
      </c>
      <c r="E379" s="37" t="s">
        <v>3279</v>
      </c>
      <c r="F379" s="43">
        <v>16.740000000000002</v>
      </c>
      <c r="G379" s="100">
        <f t="shared" si="5"/>
        <v>16.739999999999998</v>
      </c>
      <c r="H379" s="101"/>
      <c r="I379" s="100">
        <f>G379*H379</f>
        <v>0</v>
      </c>
      <c r="J379" s="39" t="s">
        <v>3336</v>
      </c>
      <c r="K379" s="40" t="s">
        <v>41</v>
      </c>
      <c r="L379" s="41" t="s">
        <v>3500</v>
      </c>
      <c r="M379" s="42" t="str">
        <f>HYPERLINK("https://catalog.onliner.by/xmaslights/neonnight/601251", "https://catalog.onliner.by/xmaslights/neonnight/601251")</f>
        <v>https://catalog.onliner.by/xmaslights/neonnight/601251</v>
      </c>
      <c r="N379" s="44"/>
    </row>
    <row r="380" spans="1:14" customFormat="1" ht="41.4">
      <c r="A380" s="35" t="s">
        <v>955</v>
      </c>
      <c r="B380" s="19" t="s">
        <v>956</v>
      </c>
      <c r="C380" s="20" t="s">
        <v>954</v>
      </c>
      <c r="D380" s="36" t="s">
        <v>28</v>
      </c>
      <c r="E380" s="37" t="s">
        <v>3279</v>
      </c>
      <c r="F380" s="43">
        <v>16.740000000000002</v>
      </c>
      <c r="G380" s="100">
        <f t="shared" si="5"/>
        <v>16.739999999999998</v>
      </c>
      <c r="H380" s="101"/>
      <c r="I380" s="100">
        <f>G380*H380</f>
        <v>0</v>
      </c>
      <c r="J380" s="39" t="s">
        <v>3336</v>
      </c>
      <c r="K380" s="40" t="s">
        <v>31</v>
      </c>
      <c r="L380" s="41"/>
      <c r="M380" s="44"/>
      <c r="N380" s="44"/>
    </row>
    <row r="381" spans="1:14" customFormat="1" ht="62.4">
      <c r="A381" s="35" t="s">
        <v>957</v>
      </c>
      <c r="B381" s="19" t="s">
        <v>958</v>
      </c>
      <c r="C381" s="20" t="s">
        <v>959</v>
      </c>
      <c r="D381" s="36" t="s">
        <v>28</v>
      </c>
      <c r="E381" s="37" t="s">
        <v>3265</v>
      </c>
      <c r="F381" s="43">
        <v>16.740000000000002</v>
      </c>
      <c r="G381" s="100">
        <f t="shared" si="5"/>
        <v>16.739999999999998</v>
      </c>
      <c r="H381" s="101"/>
      <c r="I381" s="100">
        <f>G381*H381</f>
        <v>0</v>
      </c>
      <c r="J381" s="39" t="s">
        <v>3336</v>
      </c>
      <c r="K381" s="40" t="s">
        <v>41</v>
      </c>
      <c r="L381" s="41" t="s">
        <v>3501</v>
      </c>
      <c r="M381" s="42" t="str">
        <f>HYPERLINK("https://catalog.onliner.by/xmaslights/neonnight/601252", "https://catalog.onliner.by/xmaslights/neonnight/601252")</f>
        <v>https://catalog.onliner.by/xmaslights/neonnight/601252</v>
      </c>
      <c r="N381" s="42" t="str">
        <f>HYPERLINK("https://pronto.by/catalog/product/601-252.html", "https://pronto.by/catalog/product/601-252.html")</f>
        <v>https://pronto.by/catalog/product/601-252.html</v>
      </c>
    </row>
    <row r="382" spans="1:14" customFormat="1" ht="62.4">
      <c r="A382" s="35" t="s">
        <v>3502</v>
      </c>
      <c r="B382" s="19" t="s">
        <v>3503</v>
      </c>
      <c r="C382" s="20" t="s">
        <v>3504</v>
      </c>
      <c r="D382" s="36" t="s">
        <v>28</v>
      </c>
      <c r="E382" s="37" t="s">
        <v>3265</v>
      </c>
      <c r="F382" s="43">
        <v>23.46</v>
      </c>
      <c r="G382" s="100">
        <f t="shared" si="5"/>
        <v>23.46</v>
      </c>
      <c r="H382" s="101"/>
      <c r="I382" s="100">
        <f>G382*H382</f>
        <v>0</v>
      </c>
      <c r="J382" s="39" t="s">
        <v>3336</v>
      </c>
      <c r="K382" s="40" t="s">
        <v>41</v>
      </c>
      <c r="L382" s="41" t="s">
        <v>3505</v>
      </c>
      <c r="M382" s="42" t="str">
        <f>HYPERLINK("https://catalog.onliner.by/xmaslights/neonnight/nn601250", "https://catalog.onliner.by/xmaslights/neonnight/nn601250")</f>
        <v>https://catalog.onliner.by/xmaslights/neonnight/nn601250</v>
      </c>
      <c r="N382" s="42" t="str">
        <f>HYPERLINK("https://pronto.by/catalog/product/601-250.html", "https://pronto.by/catalog/product/601-250.html")</f>
        <v>https://pronto.by/catalog/product/601-250.html</v>
      </c>
    </row>
    <row r="383" spans="1:14" customFormat="1" ht="62.4">
      <c r="A383" s="35" t="s">
        <v>960</v>
      </c>
      <c r="B383" s="19" t="s">
        <v>961</v>
      </c>
      <c r="C383" s="20" t="s">
        <v>962</v>
      </c>
      <c r="D383" s="36" t="s">
        <v>28</v>
      </c>
      <c r="E383" s="37" t="s">
        <v>3265</v>
      </c>
      <c r="F383" s="43">
        <v>33.54</v>
      </c>
      <c r="G383" s="100">
        <f t="shared" si="5"/>
        <v>33.54</v>
      </c>
      <c r="H383" s="101"/>
      <c r="I383" s="100">
        <f>G383*H383</f>
        <v>0</v>
      </c>
      <c r="J383" s="39" t="s">
        <v>3336</v>
      </c>
      <c r="K383" s="40" t="s">
        <v>41</v>
      </c>
      <c r="L383" s="41" t="s">
        <v>3506</v>
      </c>
      <c r="M383" s="42" t="str">
        <f>HYPERLINK("https://catalog.onliner.by/xmaslights/neonnight/601256", "https://catalog.onliner.by/xmaslights/neonnight/601256")</f>
        <v>https://catalog.onliner.by/xmaslights/neonnight/601256</v>
      </c>
      <c r="N383" s="42" t="str">
        <f>HYPERLINK("https://pronto.by/catalog/product/601-256.html", "https://pronto.by/catalog/product/601-256.html")</f>
        <v>https://pronto.by/catalog/product/601-256.html</v>
      </c>
    </row>
    <row r="384" spans="1:14" customFormat="1" ht="41.4">
      <c r="A384" s="53" t="s">
        <v>3507</v>
      </c>
      <c r="B384" s="19" t="s">
        <v>3508</v>
      </c>
      <c r="C384" s="20" t="s">
        <v>3509</v>
      </c>
      <c r="D384" s="36" t="s">
        <v>28</v>
      </c>
      <c r="E384" s="37"/>
      <c r="F384" s="43">
        <v>10.02</v>
      </c>
      <c r="G384" s="100">
        <f t="shared" si="5"/>
        <v>10.02</v>
      </c>
      <c r="H384" s="101"/>
      <c r="I384" s="100">
        <f>G384*H384</f>
        <v>0</v>
      </c>
      <c r="J384" s="39" t="s">
        <v>3336</v>
      </c>
      <c r="K384" s="40"/>
      <c r="L384" s="41"/>
      <c r="M384" s="44"/>
      <c r="N384" s="44"/>
    </row>
    <row r="385" spans="1:14" customFormat="1" ht="41.4">
      <c r="A385" s="53" t="s">
        <v>3510</v>
      </c>
      <c r="B385" s="19" t="s">
        <v>3511</v>
      </c>
      <c r="C385" s="20" t="s">
        <v>3512</v>
      </c>
      <c r="D385" s="36" t="s">
        <v>28</v>
      </c>
      <c r="E385" s="37"/>
      <c r="F385" s="43">
        <v>16.740000000000002</v>
      </c>
      <c r="G385" s="100">
        <f t="shared" si="5"/>
        <v>16.739999999999998</v>
      </c>
      <c r="H385" s="101"/>
      <c r="I385" s="100">
        <f>G385*H385</f>
        <v>0</v>
      </c>
      <c r="J385" s="39" t="s">
        <v>3336</v>
      </c>
      <c r="K385" s="40"/>
      <c r="L385" s="41"/>
      <c r="M385" s="44"/>
      <c r="N385" s="44"/>
    </row>
    <row r="386" spans="1:14" customFormat="1" ht="71.400000000000006">
      <c r="A386" s="35" t="s">
        <v>963</v>
      </c>
      <c r="B386" s="19" t="s">
        <v>964</v>
      </c>
      <c r="C386" s="20" t="s">
        <v>965</v>
      </c>
      <c r="D386" s="36" t="s">
        <v>28</v>
      </c>
      <c r="E386" s="37" t="s">
        <v>3260</v>
      </c>
      <c r="F386" s="43">
        <v>25.140000000000004</v>
      </c>
      <c r="G386" s="100">
        <f t="shared" si="5"/>
        <v>25.14</v>
      </c>
      <c r="H386" s="101"/>
      <c r="I386" s="100">
        <f>G386*H386</f>
        <v>0</v>
      </c>
      <c r="J386" s="39" t="s">
        <v>3336</v>
      </c>
      <c r="K386" s="40" t="s">
        <v>31</v>
      </c>
      <c r="L386" s="41"/>
      <c r="M386" s="42" t="s">
        <v>966</v>
      </c>
      <c r="N386" s="42" t="str">
        <f>HYPERLINK("https://pronto.by/catalog/prazdnichnaya-svetotehnika/home-konechnye-potrebiteli/figury-interernye/disko-lampy/601-526.html", "https://pronto.by/catalog/prazdnichnaya-svetotehnika/home-konechnye-potrebiteli/figury-interernye/disko-lampy/601-526.html")</f>
        <v>https://pronto.by/catalog/prazdnichnaya-svetotehnika/home-konechnye-potrebiteli/figury-interernye/disko-lampy/601-526.html</v>
      </c>
    </row>
    <row r="387" spans="1:14" customFormat="1" ht="15.6">
      <c r="A387" s="80" t="s">
        <v>3513</v>
      </c>
      <c r="B387" s="67"/>
      <c r="C387" s="67"/>
      <c r="D387" s="32"/>
      <c r="E387" s="32"/>
      <c r="F387" s="32"/>
      <c r="G387" s="52"/>
      <c r="H387" s="52"/>
      <c r="I387" s="52"/>
      <c r="J387" s="32"/>
      <c r="K387" s="32"/>
      <c r="L387" s="33"/>
      <c r="M387" s="33"/>
      <c r="N387" s="34"/>
    </row>
    <row r="388" spans="1:14" customFormat="1" ht="62.4">
      <c r="A388" s="35" t="s">
        <v>967</v>
      </c>
      <c r="B388" s="19" t="s">
        <v>968</v>
      </c>
      <c r="C388" s="20" t="s">
        <v>969</v>
      </c>
      <c r="D388" s="36" t="s">
        <v>28</v>
      </c>
      <c r="E388" s="37" t="s">
        <v>3297</v>
      </c>
      <c r="F388" s="43">
        <v>97.44</v>
      </c>
      <c r="G388" s="100">
        <f t="shared" si="5"/>
        <v>97.44</v>
      </c>
      <c r="H388" s="101"/>
      <c r="I388" s="100">
        <f>G388*H388</f>
        <v>0</v>
      </c>
      <c r="J388" s="39" t="s">
        <v>3336</v>
      </c>
      <c r="K388" s="40" t="s">
        <v>31</v>
      </c>
      <c r="L388" s="41" t="s">
        <v>3514</v>
      </c>
      <c r="M388" s="42" t="str">
        <f>HYPERLINK("https://catalog.onliner.by/xmaslights/neonnight/nn601267", "https://catalog.onliner.by/xmaslights/neonnight/nn601267")</f>
        <v>https://catalog.onliner.by/xmaslights/neonnight/nn601267</v>
      </c>
      <c r="N388" s="42" t="str">
        <f>HYPERLINK("https://pronto.by/catalog/product/601-267.html", "https://pronto.by/catalog/product/601-267.html")</f>
        <v>https://pronto.by/catalog/product/601-267.html</v>
      </c>
    </row>
    <row r="389" spans="1:14" customFormat="1" ht="62.4">
      <c r="A389" s="35" t="s">
        <v>970</v>
      </c>
      <c r="B389" s="19" t="s">
        <v>971</v>
      </c>
      <c r="C389" s="20" t="s">
        <v>972</v>
      </c>
      <c r="D389" s="36" t="s">
        <v>28</v>
      </c>
      <c r="E389" s="37" t="s">
        <v>3281</v>
      </c>
      <c r="F389" s="43">
        <v>83.64</v>
      </c>
      <c r="G389" s="100">
        <f t="shared" si="5"/>
        <v>83.64</v>
      </c>
      <c r="H389" s="101"/>
      <c r="I389" s="100">
        <f>G389*H389</f>
        <v>0</v>
      </c>
      <c r="J389" s="39" t="s">
        <v>3336</v>
      </c>
      <c r="K389" s="40" t="s">
        <v>31</v>
      </c>
      <c r="L389" s="41" t="s">
        <v>3515</v>
      </c>
      <c r="M389" s="42" t="str">
        <f>HYPERLINK("https://catalog.onliner.by/xmaslights/neonnight/nn601268", "https://catalog.onliner.by/xmaslights/neonnight/nn601268")</f>
        <v>https://catalog.onliner.by/xmaslights/neonnight/nn601268</v>
      </c>
      <c r="N389" s="42" t="str">
        <f>HYPERLINK("https://pronto.by/catalog/product/601-268.html", "https://pronto.by/catalog/product/601-268.html")</f>
        <v>https://pronto.by/catalog/product/601-268.html</v>
      </c>
    </row>
    <row r="390" spans="1:14" customFormat="1" ht="62.4">
      <c r="A390" s="35" t="s">
        <v>973</v>
      </c>
      <c r="B390" s="19" t="s">
        <v>974</v>
      </c>
      <c r="C390" s="20" t="s">
        <v>975</v>
      </c>
      <c r="D390" s="36" t="s">
        <v>28</v>
      </c>
      <c r="E390" s="37" t="s">
        <v>3273</v>
      </c>
      <c r="F390" s="43">
        <v>107.16000000000001</v>
      </c>
      <c r="G390" s="100">
        <f t="shared" si="5"/>
        <v>107.16</v>
      </c>
      <c r="H390" s="101"/>
      <c r="I390" s="100">
        <f>G390*H390</f>
        <v>0</v>
      </c>
      <c r="J390" s="39" t="s">
        <v>3336</v>
      </c>
      <c r="K390" s="40" t="s">
        <v>31</v>
      </c>
      <c r="L390" s="41" t="s">
        <v>3516</v>
      </c>
      <c r="M390" s="42" t="str">
        <f>HYPERLINK("https://catalog.onliner.by/xmaslights/neonnight/601262", "https://catalog.onliner.by/xmaslights/neonnight/601262")</f>
        <v>https://catalog.onliner.by/xmaslights/neonnight/601262</v>
      </c>
      <c r="N390" s="42" t="str">
        <f>HYPERLINK("https://pronto.by/catalog/product/601-262.html", "https://pronto.by/catalog/product/601-262.html")</f>
        <v>https://pronto.by/catalog/product/601-262.html</v>
      </c>
    </row>
    <row r="391" spans="1:14" customFormat="1" ht="62.4">
      <c r="A391" s="35" t="s">
        <v>976</v>
      </c>
      <c r="B391" s="19" t="s">
        <v>977</v>
      </c>
      <c r="C391" s="20" t="s">
        <v>978</v>
      </c>
      <c r="D391" s="36" t="s">
        <v>28</v>
      </c>
      <c r="E391" s="37" t="s">
        <v>3282</v>
      </c>
      <c r="F391" s="43">
        <v>73.56</v>
      </c>
      <c r="G391" s="100">
        <f t="shared" si="5"/>
        <v>73.56</v>
      </c>
      <c r="H391" s="101"/>
      <c r="I391" s="100">
        <f>G391*H391</f>
        <v>0</v>
      </c>
      <c r="J391" s="39" t="s">
        <v>3336</v>
      </c>
      <c r="K391" s="40" t="s">
        <v>31</v>
      </c>
      <c r="L391" s="41" t="s">
        <v>3517</v>
      </c>
      <c r="M391" s="42" t="str">
        <f>HYPERLINK("https://catalog.onliner.by/xmaslights/neonnight/601263", "https://catalog.onliner.by/xmaslights/neonnight/601263")</f>
        <v>https://catalog.onliner.by/xmaslights/neonnight/601263</v>
      </c>
      <c r="N391" s="42" t="str">
        <f>HYPERLINK("https://pronto.by/catalog/product/601-263.html", "https://pronto.by/catalog/product/601-263.html")</f>
        <v>https://pronto.by/catalog/product/601-263.html</v>
      </c>
    </row>
    <row r="392" spans="1:14" customFormat="1" ht="62.4">
      <c r="A392" s="35" t="s">
        <v>979</v>
      </c>
      <c r="B392" s="19" t="s">
        <v>980</v>
      </c>
      <c r="C392" s="20" t="s">
        <v>981</v>
      </c>
      <c r="D392" s="36" t="s">
        <v>28</v>
      </c>
      <c r="E392" s="37" t="s">
        <v>3273</v>
      </c>
      <c r="F392" s="43">
        <v>134.04</v>
      </c>
      <c r="G392" s="100">
        <f t="shared" si="5"/>
        <v>134.04</v>
      </c>
      <c r="H392" s="101"/>
      <c r="I392" s="100">
        <f>G392*H392</f>
        <v>0</v>
      </c>
      <c r="J392" s="39" t="s">
        <v>3336</v>
      </c>
      <c r="K392" s="40" t="s">
        <v>31</v>
      </c>
      <c r="L392" s="41" t="s">
        <v>3518</v>
      </c>
      <c r="M392" s="42" t="str">
        <f>HYPERLINK("https://catalog.onliner.by/xmaslights/neonnight/601261", "https://catalog.onliner.by/xmaslights/neonnight/601261")</f>
        <v>https://catalog.onliner.by/xmaslights/neonnight/601261</v>
      </c>
      <c r="N392" s="42" t="str">
        <f>HYPERLINK("https://pronto.by/catalog/product/601-261.html", "https://pronto.by/catalog/product/601-261.html")</f>
        <v>https://pronto.by/catalog/product/601-261.html</v>
      </c>
    </row>
    <row r="393" spans="1:14" customFormat="1" ht="62.4">
      <c r="A393" s="35" t="s">
        <v>982</v>
      </c>
      <c r="B393" s="19" t="s">
        <v>983</v>
      </c>
      <c r="C393" s="20" t="s">
        <v>984</v>
      </c>
      <c r="D393" s="36" t="s">
        <v>28</v>
      </c>
      <c r="E393" s="37" t="s">
        <v>3273</v>
      </c>
      <c r="F393" s="43">
        <v>134.04</v>
      </c>
      <c r="G393" s="100">
        <f t="shared" si="5"/>
        <v>134.04</v>
      </c>
      <c r="H393" s="101"/>
      <c r="I393" s="100">
        <f>G393*H393</f>
        <v>0</v>
      </c>
      <c r="J393" s="39" t="s">
        <v>3336</v>
      </c>
      <c r="K393" s="40" t="s">
        <v>31</v>
      </c>
      <c r="L393" s="41" t="s">
        <v>3519</v>
      </c>
      <c r="M393" s="42" t="str">
        <f>HYPERLINK("https://catalog.onliner.by/xmaslights/neonnight/nn601291", "https://catalog.onliner.by/xmaslights/neonnight/nn601291")</f>
        <v>https://catalog.onliner.by/xmaslights/neonnight/nn601291</v>
      </c>
      <c r="N393" s="42" t="str">
        <f>HYPERLINK("https://pronto.by/catalog/product/601-291.html", "https://pronto.by/catalog/product/601-291.html")</f>
        <v>https://pronto.by/catalog/product/601-291.html</v>
      </c>
    </row>
    <row r="394" spans="1:14" customFormat="1" ht="62.4">
      <c r="A394" s="35" t="s">
        <v>985</v>
      </c>
      <c r="B394" s="19" t="s">
        <v>986</v>
      </c>
      <c r="C394" s="20" t="s">
        <v>987</v>
      </c>
      <c r="D394" s="36" t="s">
        <v>28</v>
      </c>
      <c r="E394" s="37" t="s">
        <v>3282</v>
      </c>
      <c r="F394" s="43">
        <v>110.52000000000001</v>
      </c>
      <c r="G394" s="100">
        <f t="shared" si="5"/>
        <v>110.52</v>
      </c>
      <c r="H394" s="101"/>
      <c r="I394" s="100">
        <f>G394*H394</f>
        <v>0</v>
      </c>
      <c r="J394" s="39" t="s">
        <v>3336</v>
      </c>
      <c r="K394" s="40" t="s">
        <v>31</v>
      </c>
      <c r="L394" s="41" t="s">
        <v>3520</v>
      </c>
      <c r="M394" s="42" t="str">
        <f>HYPERLINK("https://catalog.onliner.by/xmaslights/neonnight/601264", "https://catalog.onliner.by/xmaslights/neonnight/601264")</f>
        <v>https://catalog.onliner.by/xmaslights/neonnight/601264</v>
      </c>
      <c r="N394" s="42" t="str">
        <f>HYPERLINK("https://pronto.by/catalog/product/601-264.html", "https://pronto.by/catalog/product/601-264.html")</f>
        <v>https://pronto.by/catalog/product/601-264.html</v>
      </c>
    </row>
    <row r="395" spans="1:14" customFormat="1" ht="71.400000000000006">
      <c r="A395" s="35" t="s">
        <v>988</v>
      </c>
      <c r="B395" s="19" t="s">
        <v>989</v>
      </c>
      <c r="C395" s="20" t="s">
        <v>990</v>
      </c>
      <c r="D395" s="36" t="s">
        <v>28</v>
      </c>
      <c r="E395" s="37" t="s">
        <v>3272</v>
      </c>
      <c r="F395" s="43">
        <v>97.08</v>
      </c>
      <c r="G395" s="100">
        <f t="shared" si="5"/>
        <v>97.08</v>
      </c>
      <c r="H395" s="101"/>
      <c r="I395" s="100">
        <f>G395*H395</f>
        <v>0</v>
      </c>
      <c r="J395" s="39" t="s">
        <v>3336</v>
      </c>
      <c r="K395" s="40" t="s">
        <v>31</v>
      </c>
      <c r="L395" s="41"/>
      <c r="M395" s="42" t="str">
        <f>HYPERLINK("https://catalog.onliner.by/desk_lamp/neonnight/melony601525", "https://catalog.onliner.by/desk_lamp/neonnight/melony601525")</f>
        <v>https://catalog.onliner.by/desk_lamp/neonnight/melony601525</v>
      </c>
      <c r="N395" s="42" t="str">
        <f>HYPERLINK("https://pronto.by/catalog/prazdnichnaya-svetotehnika/home-konechnye-potrebiteli/figury-interernye/proektory/601-525.html", "https://pronto.by/catalog/prazdnichnaya-svetotehnika/home-konechnye-potrebiteli/figury-interernye/proektory/601-525.html")</f>
        <v>https://pronto.by/catalog/prazdnichnaya-svetotehnika/home-konechnye-potrebiteli/figury-interernye/proektory/601-525.html</v>
      </c>
    </row>
    <row r="396" spans="1:14" customFormat="1" ht="41.4">
      <c r="A396" s="53" t="s">
        <v>3521</v>
      </c>
      <c r="B396" s="19" t="s">
        <v>3522</v>
      </c>
      <c r="C396" s="20" t="s">
        <v>3523</v>
      </c>
      <c r="D396" s="36" t="s">
        <v>28</v>
      </c>
      <c r="E396" s="37"/>
      <c r="F396" s="43">
        <v>20.939999999999998</v>
      </c>
      <c r="G396" s="100">
        <f t="shared" si="5"/>
        <v>20.94</v>
      </c>
      <c r="H396" s="101"/>
      <c r="I396" s="100">
        <f>G396*H396</f>
        <v>0</v>
      </c>
      <c r="J396" s="39" t="s">
        <v>3336</v>
      </c>
      <c r="K396" s="40"/>
      <c r="L396" s="41"/>
      <c r="M396" s="44"/>
      <c r="N396" s="44"/>
    </row>
    <row r="397" spans="1:14" customFormat="1" ht="41.4">
      <c r="A397" s="53" t="s">
        <v>3524</v>
      </c>
      <c r="B397" s="19" t="s">
        <v>3525</v>
      </c>
      <c r="C397" s="20" t="s">
        <v>3526</v>
      </c>
      <c r="D397" s="36" t="s">
        <v>28</v>
      </c>
      <c r="E397" s="37"/>
      <c r="F397" s="43">
        <v>25.140000000000004</v>
      </c>
      <c r="G397" s="100">
        <f t="shared" si="5"/>
        <v>25.14</v>
      </c>
      <c r="H397" s="101"/>
      <c r="I397" s="100">
        <f>G397*H397</f>
        <v>0</v>
      </c>
      <c r="J397" s="39" t="s">
        <v>3336</v>
      </c>
      <c r="K397" s="40"/>
      <c r="L397" s="41"/>
      <c r="M397" s="44"/>
      <c r="N397" s="44"/>
    </row>
    <row r="398" spans="1:14" customFormat="1" ht="15.6">
      <c r="A398" s="80" t="s">
        <v>3527</v>
      </c>
      <c r="B398" s="67"/>
      <c r="C398" s="67"/>
      <c r="D398" s="32"/>
      <c r="E398" s="32"/>
      <c r="F398" s="32"/>
      <c r="G398" s="52"/>
      <c r="H398" s="52"/>
      <c r="I398" s="52"/>
      <c r="J398" s="32"/>
      <c r="K398" s="32"/>
      <c r="L398" s="33"/>
      <c r="M398" s="33"/>
      <c r="N398" s="34"/>
    </row>
    <row r="399" spans="1:14" customFormat="1" ht="71.400000000000006">
      <c r="A399" s="35" t="s">
        <v>991</v>
      </c>
      <c r="B399" s="19" t="s">
        <v>992</v>
      </c>
      <c r="C399" s="20" t="s">
        <v>3528</v>
      </c>
      <c r="D399" s="36" t="s">
        <v>28</v>
      </c>
      <c r="E399" s="37" t="s">
        <v>3299</v>
      </c>
      <c r="F399" s="43">
        <v>100.44</v>
      </c>
      <c r="G399" s="100">
        <f t="shared" ref="G399:G462" si="6">ROUND(F399-F399*G$3,2)</f>
        <v>100.44</v>
      </c>
      <c r="H399" s="101"/>
      <c r="I399" s="100">
        <f>G399*H399</f>
        <v>0</v>
      </c>
      <c r="J399" s="39" t="s">
        <v>3336</v>
      </c>
      <c r="K399" s="40" t="s">
        <v>31</v>
      </c>
      <c r="L399" s="41" t="s">
        <v>3529</v>
      </c>
      <c r="M399" s="42" t="str">
        <f>HYPERLINK("https://catalog.onliner.by/desk_lamp/neonnight/503059", "https://catalog.onliner.by/desk_lamp/neonnight/503059")</f>
        <v>https://catalog.onliner.by/desk_lamp/neonnight/503059</v>
      </c>
      <c r="N399" s="42" t="str">
        <f>HYPERLINK("https://pronto.by/catalog/prazdnichnaya-svetotehnika/home-konechnye-potrebiteli/figury-interernye/silikonovye-nochniki/503-059.html", "https://pronto.by/catalog/prazdnichnaya-svetotehnika/home-konechnye-potrebiteli/figury-interernye/silikonovye-nochniki/503-059.html")</f>
        <v>https://pronto.by/catalog/prazdnichnaya-svetotehnika/home-konechnye-potrebiteli/figury-interernye/silikonovye-nochniki/503-059.html</v>
      </c>
    </row>
    <row r="400" spans="1:14" customFormat="1" ht="71.400000000000006">
      <c r="A400" s="35" t="s">
        <v>993</v>
      </c>
      <c r="B400" s="19" t="s">
        <v>994</v>
      </c>
      <c r="C400" s="20" t="s">
        <v>995</v>
      </c>
      <c r="D400" s="36" t="s">
        <v>28</v>
      </c>
      <c r="E400" s="37" t="s">
        <v>3260</v>
      </c>
      <c r="F400" s="43">
        <v>25.140000000000004</v>
      </c>
      <c r="G400" s="100">
        <f t="shared" si="6"/>
        <v>25.14</v>
      </c>
      <c r="H400" s="101"/>
      <c r="I400" s="100">
        <f>G400*H400</f>
        <v>0</v>
      </c>
      <c r="J400" s="39" t="s">
        <v>3336</v>
      </c>
      <c r="K400" s="40" t="s">
        <v>31</v>
      </c>
      <c r="L400" s="41"/>
      <c r="M400" s="42" t="str">
        <f>HYPERLINK("https://catalog.onliner.by/desk_lamp/neonnight/portal503853", "https://catalog.onliner.by/desk_lamp/neonnight/portal503853")</f>
        <v>https://catalog.onliner.by/desk_lamp/neonnight/portal503853</v>
      </c>
      <c r="N400" s="42" t="str">
        <f>HYPERLINK("https://pronto.by/catalog/prazdnichnaya-svetotehnika/home-konechnye-potrebiteli/figury-interernye/silikonovye-nochniki/503-853.html", "https://pronto.by/catalog/prazdnichnaya-svetotehnika/home-konechnye-potrebiteli/figury-interernye/silikonovye-nochniki/503-853.html")</f>
        <v>https://pronto.by/catalog/prazdnichnaya-svetotehnika/home-konechnye-potrebiteli/figury-interernye/silikonovye-nochniki/503-853.html</v>
      </c>
    </row>
    <row r="401" spans="1:14" customFormat="1" ht="62.4">
      <c r="A401" s="35" t="s">
        <v>996</v>
      </c>
      <c r="B401" s="19" t="s">
        <v>997</v>
      </c>
      <c r="C401" s="20" t="s">
        <v>998</v>
      </c>
      <c r="D401" s="36" t="s">
        <v>28</v>
      </c>
      <c r="E401" s="37" t="s">
        <v>3279</v>
      </c>
      <c r="F401" s="43">
        <v>42.48</v>
      </c>
      <c r="G401" s="100">
        <f t="shared" si="6"/>
        <v>42.48</v>
      </c>
      <c r="H401" s="101"/>
      <c r="I401" s="100">
        <f>G401*H401</f>
        <v>0</v>
      </c>
      <c r="J401" s="39" t="s">
        <v>3336</v>
      </c>
      <c r="K401" s="40" t="s">
        <v>31</v>
      </c>
      <c r="L401" s="41" t="s">
        <v>3530</v>
      </c>
      <c r="M401" s="42" t="str">
        <f>HYPERLINK("https://catalog.onliner.by/desk_lamp/neonnight/nn503003", "https://catalog.onliner.by/desk_lamp/neonnight/nn503003")</f>
        <v>https://catalog.onliner.by/desk_lamp/neonnight/nn503003</v>
      </c>
      <c r="N401" s="42" t="str">
        <f>HYPERLINK("https://pronto.by/catalog/product/503-003.html", "https://pronto.by/catalog/product/503-003.html")</f>
        <v>https://pronto.by/catalog/product/503-003.html</v>
      </c>
    </row>
    <row r="402" spans="1:14" customFormat="1" ht="62.4">
      <c r="A402" s="35" t="s">
        <v>999</v>
      </c>
      <c r="B402" s="19" t="s">
        <v>1000</v>
      </c>
      <c r="C402" s="20" t="s">
        <v>1001</v>
      </c>
      <c r="D402" s="36" t="s">
        <v>28</v>
      </c>
      <c r="E402" s="37" t="s">
        <v>3261</v>
      </c>
      <c r="F402" s="43">
        <v>42.48</v>
      </c>
      <c r="G402" s="100">
        <f t="shared" si="6"/>
        <v>42.48</v>
      </c>
      <c r="H402" s="101"/>
      <c r="I402" s="100">
        <f>G402*H402</f>
        <v>0</v>
      </c>
      <c r="J402" s="39" t="s">
        <v>3336</v>
      </c>
      <c r="K402" s="40" t="s">
        <v>31</v>
      </c>
      <c r="L402" s="41" t="s">
        <v>3531</v>
      </c>
      <c r="M402" s="42" t="str">
        <f>HYPERLINK("https://catalog.onliner.by/desk_lamp/neonnight/nn503001", "https://catalog.onliner.by/desk_lamp/neonnight/nn503001")</f>
        <v>https://catalog.onliner.by/desk_lamp/neonnight/nn503001</v>
      </c>
      <c r="N402" s="42" t="str">
        <f>HYPERLINK("https://pronto.by/catalog/product/503-001.html", "https://pronto.by/catalog/product/503-001.html")</f>
        <v>https://pronto.by/catalog/product/503-001.html</v>
      </c>
    </row>
    <row r="403" spans="1:14" customFormat="1" ht="62.4">
      <c r="A403" s="35" t="s">
        <v>1002</v>
      </c>
      <c r="B403" s="19" t="s">
        <v>1003</v>
      </c>
      <c r="C403" s="20" t="s">
        <v>1004</v>
      </c>
      <c r="D403" s="36" t="s">
        <v>28</v>
      </c>
      <c r="E403" s="37" t="s">
        <v>3288</v>
      </c>
      <c r="F403" s="43">
        <v>42.48</v>
      </c>
      <c r="G403" s="100">
        <f t="shared" si="6"/>
        <v>42.48</v>
      </c>
      <c r="H403" s="101"/>
      <c r="I403" s="100">
        <f>G403*H403</f>
        <v>0</v>
      </c>
      <c r="J403" s="39" t="s">
        <v>3336</v>
      </c>
      <c r="K403" s="40" t="s">
        <v>31</v>
      </c>
      <c r="L403" s="41" t="s">
        <v>3532</v>
      </c>
      <c r="M403" s="42" t="str">
        <f>HYPERLINK("https://catalog.onliner.by/desk_lamp/neonnight/503006", "https://catalog.onliner.by/desk_lamp/neonnight/503006")</f>
        <v>https://catalog.onliner.by/desk_lamp/neonnight/503006</v>
      </c>
      <c r="N403" s="42" t="str">
        <f>HYPERLINK("https://pronto.by/catalog/product/503-006.html", "https://pronto.by/catalog/product/503-006.html")</f>
        <v>https://pronto.by/catalog/product/503-006.html</v>
      </c>
    </row>
    <row r="404" spans="1:14" customFormat="1" ht="62.4">
      <c r="A404" s="35" t="s">
        <v>1005</v>
      </c>
      <c r="B404" s="19" t="s">
        <v>1006</v>
      </c>
      <c r="C404" s="20" t="s">
        <v>1007</v>
      </c>
      <c r="D404" s="36" t="s">
        <v>28</v>
      </c>
      <c r="E404" s="37" t="s">
        <v>3288</v>
      </c>
      <c r="F404" s="43">
        <v>42.48</v>
      </c>
      <c r="G404" s="100">
        <f t="shared" si="6"/>
        <v>42.48</v>
      </c>
      <c r="H404" s="101"/>
      <c r="I404" s="100">
        <f>G404*H404</f>
        <v>0</v>
      </c>
      <c r="J404" s="39" t="s">
        <v>3336</v>
      </c>
      <c r="K404" s="40" t="s">
        <v>31</v>
      </c>
      <c r="L404" s="41" t="s">
        <v>3533</v>
      </c>
      <c r="M404" s="42" t="str">
        <f>HYPERLINK("https://catalog.onliner.by/desk_lamp/neonnight/503005", "https://catalog.onliner.by/desk_lamp/neonnight/503005")</f>
        <v>https://catalog.onliner.by/desk_lamp/neonnight/503005</v>
      </c>
      <c r="N404" s="42" t="str">
        <f>HYPERLINK("https://pronto.by/catalog/product/503-005.html", "https://pronto.by/catalog/product/503-005.html")</f>
        <v>https://pronto.by/catalog/product/503-005.html</v>
      </c>
    </row>
    <row r="405" spans="1:14" customFormat="1" ht="62.4">
      <c r="A405" s="35" t="s">
        <v>1008</v>
      </c>
      <c r="B405" s="19" t="s">
        <v>1009</v>
      </c>
      <c r="C405" s="20" t="s">
        <v>1010</v>
      </c>
      <c r="D405" s="36" t="s">
        <v>28</v>
      </c>
      <c r="E405" s="37" t="s">
        <v>3261</v>
      </c>
      <c r="F405" s="43">
        <v>42.48</v>
      </c>
      <c r="G405" s="100">
        <f t="shared" si="6"/>
        <v>42.48</v>
      </c>
      <c r="H405" s="101"/>
      <c r="I405" s="100">
        <f>G405*H405</f>
        <v>0</v>
      </c>
      <c r="J405" s="39" t="s">
        <v>3336</v>
      </c>
      <c r="K405" s="40" t="s">
        <v>31</v>
      </c>
      <c r="L405" s="41" t="s">
        <v>3534</v>
      </c>
      <c r="M405" s="42" t="str">
        <f>HYPERLINK("https://catalog.onliner.by/desk_lamp/neonnight/nn503004", "https://catalog.onliner.by/desk_lamp/neonnight/nn503004")</f>
        <v>https://catalog.onliner.by/desk_lamp/neonnight/nn503004</v>
      </c>
      <c r="N405" s="42" t="str">
        <f>HYPERLINK("https://pronto.by/catalog/product/503-004.html", "https://pronto.by/catalog/product/503-004.html")</f>
        <v>https://pronto.by/catalog/product/503-004.html</v>
      </c>
    </row>
    <row r="406" spans="1:14" customFormat="1" ht="71.400000000000006">
      <c r="A406" s="35" t="s">
        <v>1011</v>
      </c>
      <c r="B406" s="19" t="s">
        <v>1012</v>
      </c>
      <c r="C406" s="20" t="s">
        <v>1013</v>
      </c>
      <c r="D406" s="36" t="s">
        <v>28</v>
      </c>
      <c r="E406" s="37" t="s">
        <v>3261</v>
      </c>
      <c r="F406" s="43">
        <v>42.48</v>
      </c>
      <c r="G406" s="100">
        <f t="shared" si="6"/>
        <v>42.48</v>
      </c>
      <c r="H406" s="101"/>
      <c r="I406" s="100">
        <f>G406*H406</f>
        <v>0</v>
      </c>
      <c r="J406" s="39" t="s">
        <v>3336</v>
      </c>
      <c r="K406" s="40" t="s">
        <v>31</v>
      </c>
      <c r="L406" s="41"/>
      <c r="M406" s="42" t="str">
        <f>HYPERLINK("https://catalog.onliner.by/desk_lamp/neonnight/503009", "https://catalog.onliner.by/desk_lamp/neonnight/503009")</f>
        <v>https://catalog.onliner.by/desk_lamp/neonnight/503009</v>
      </c>
      <c r="N406" s="42" t="str">
        <f>HYPERLINK("https://pronto.by/catalog/prazdnichnaya-svetotehnika/home-konechnye-potrebiteli/figury-interernye/silikonovye-nochniki/503-009.html", "https://pronto.by/catalog/prazdnichnaya-svetotehnika/home-konechnye-potrebiteli/figury-interernye/silikonovye-nochniki/503-009.html")</f>
        <v>https://pronto.by/catalog/prazdnichnaya-svetotehnika/home-konechnye-potrebiteli/figury-interernye/silikonovye-nochniki/503-009.html</v>
      </c>
    </row>
    <row r="407" spans="1:14" customFormat="1" ht="62.4">
      <c r="A407" s="35" t="s">
        <v>1014</v>
      </c>
      <c r="B407" s="19" t="s">
        <v>1015</v>
      </c>
      <c r="C407" s="20" t="s">
        <v>1016</v>
      </c>
      <c r="D407" s="36" t="s">
        <v>28</v>
      </c>
      <c r="E407" s="37" t="s">
        <v>3260</v>
      </c>
      <c r="F407" s="43">
        <v>25.140000000000004</v>
      </c>
      <c r="G407" s="100">
        <f t="shared" si="6"/>
        <v>25.14</v>
      </c>
      <c r="H407" s="101"/>
      <c r="I407" s="100">
        <f>G407*H407</f>
        <v>0</v>
      </c>
      <c r="J407" s="39" t="s">
        <v>3336</v>
      </c>
      <c r="K407" s="40" t="s">
        <v>31</v>
      </c>
      <c r="L407" s="41" t="s">
        <v>3535</v>
      </c>
      <c r="M407" s="42" t="str">
        <f>HYPERLINK("https://catalog.onliner.by/desk_lamp/neonnight/nn503002", "https://catalog.onliner.by/desk_lamp/neonnight/nn503002")</f>
        <v>https://catalog.onliner.by/desk_lamp/neonnight/nn503002</v>
      </c>
      <c r="N407" s="42" t="str">
        <f>HYPERLINK("https://pronto.by/catalog/product/503-002.html", "https://pronto.by/catalog/product/503-002.html")</f>
        <v>https://pronto.by/catalog/product/503-002.html</v>
      </c>
    </row>
    <row r="408" spans="1:14" customFormat="1" ht="62.4">
      <c r="A408" s="35" t="s">
        <v>1017</v>
      </c>
      <c r="B408" s="19" t="s">
        <v>1018</v>
      </c>
      <c r="C408" s="20" t="s">
        <v>1019</v>
      </c>
      <c r="D408" s="36" t="s">
        <v>28</v>
      </c>
      <c r="E408" s="37" t="s">
        <v>3261</v>
      </c>
      <c r="F408" s="43">
        <v>43.74</v>
      </c>
      <c r="G408" s="100">
        <f t="shared" si="6"/>
        <v>43.74</v>
      </c>
      <c r="H408" s="101"/>
      <c r="I408" s="100">
        <f>G408*H408</f>
        <v>0</v>
      </c>
      <c r="J408" s="39" t="s">
        <v>3336</v>
      </c>
      <c r="K408" s="40" t="s">
        <v>31</v>
      </c>
      <c r="L408" s="41" t="s">
        <v>3536</v>
      </c>
      <c r="M408" s="42" t="str">
        <f>HYPERLINK("https://catalog.onliner.by/desk_lamp/neonnight/503008", "https://catalog.onliner.by/desk_lamp/neonnight/503008")</f>
        <v>https://catalog.onliner.by/desk_lamp/neonnight/503008</v>
      </c>
      <c r="N408" s="42" t="str">
        <f>HYPERLINK("https://pronto.by/catalog/product/503-008.html", "https://pronto.by/catalog/product/503-008.html")</f>
        <v>https://pronto.by/catalog/product/503-008.html</v>
      </c>
    </row>
    <row r="409" spans="1:14" customFormat="1" ht="30.6">
      <c r="A409" s="35" t="s">
        <v>1020</v>
      </c>
      <c r="B409" s="19" t="s">
        <v>1021</v>
      </c>
      <c r="C409" s="20" t="s">
        <v>1022</v>
      </c>
      <c r="D409" s="36" t="s">
        <v>28</v>
      </c>
      <c r="E409" s="37" t="s">
        <v>3279</v>
      </c>
      <c r="F409" s="43">
        <v>42.48</v>
      </c>
      <c r="G409" s="100">
        <f t="shared" si="6"/>
        <v>42.48</v>
      </c>
      <c r="H409" s="101"/>
      <c r="I409" s="100">
        <f>G409*H409</f>
        <v>0</v>
      </c>
      <c r="J409" s="39" t="s">
        <v>3336</v>
      </c>
      <c r="K409" s="40" t="s">
        <v>31</v>
      </c>
      <c r="L409" s="41"/>
      <c r="M409" s="42" t="str">
        <f>HYPERLINK("https://catalog.onliner.by/desk_lamp/neonnight/503018", "https://catalog.onliner.by/desk_lamp/neonnight/503018")</f>
        <v>https://catalog.onliner.by/desk_lamp/neonnight/503018</v>
      </c>
      <c r="N409" s="42" t="str">
        <f>HYPERLINK("https://pronto.by/catalog/product/503-018.html", "https://pronto.by/catalog/product/503-018.html")</f>
        <v>https://pronto.by/catalog/product/503-018.html</v>
      </c>
    </row>
    <row r="410" spans="1:14" customFormat="1" ht="62.4">
      <c r="A410" s="35" t="s">
        <v>1023</v>
      </c>
      <c r="B410" s="19" t="s">
        <v>1024</v>
      </c>
      <c r="C410" s="20" t="s">
        <v>1025</v>
      </c>
      <c r="D410" s="36" t="s">
        <v>28</v>
      </c>
      <c r="E410" s="37" t="s">
        <v>3261</v>
      </c>
      <c r="F410" s="43">
        <v>42.48</v>
      </c>
      <c r="G410" s="100">
        <f t="shared" si="6"/>
        <v>42.48</v>
      </c>
      <c r="H410" s="101"/>
      <c r="I410" s="100">
        <f>G410*H410</f>
        <v>0</v>
      </c>
      <c r="J410" s="39" t="s">
        <v>3336</v>
      </c>
      <c r="K410" s="40" t="s">
        <v>31</v>
      </c>
      <c r="L410" s="41" t="s">
        <v>3537</v>
      </c>
      <c r="M410" s="42" t="str">
        <f>HYPERLINK("https://catalog.onliner.by/desk_lamp/neonnight/503007", "https://catalog.onliner.by/desk_lamp/neonnight/503007")</f>
        <v>https://catalog.onliner.by/desk_lamp/neonnight/503007</v>
      </c>
      <c r="N410" s="42" t="str">
        <f>HYPERLINK("https://pronto.by/catalog/product/503-007.html", "https://pronto.by/catalog/product/503-007.html")</f>
        <v>https://pronto.by/catalog/product/503-007.html</v>
      </c>
    </row>
    <row r="411" spans="1:14" customFormat="1" ht="15.6">
      <c r="A411" s="80" t="s">
        <v>3538</v>
      </c>
      <c r="B411" s="67"/>
      <c r="C411" s="67"/>
      <c r="D411" s="32"/>
      <c r="E411" s="32"/>
      <c r="F411" s="32"/>
      <c r="G411" s="52"/>
      <c r="H411" s="52"/>
      <c r="I411" s="52"/>
      <c r="J411" s="32"/>
      <c r="K411" s="32"/>
      <c r="L411" s="33"/>
      <c r="M411" s="33"/>
      <c r="N411" s="34"/>
    </row>
    <row r="412" spans="1:14" customFormat="1" ht="41.4">
      <c r="A412" s="35" t="s">
        <v>1026</v>
      </c>
      <c r="B412" s="19" t="s">
        <v>1027</v>
      </c>
      <c r="C412" s="20" t="s">
        <v>1028</v>
      </c>
      <c r="D412" s="36" t="s">
        <v>28</v>
      </c>
      <c r="E412" s="37" t="s">
        <v>3283</v>
      </c>
      <c r="F412" s="43">
        <v>54.84</v>
      </c>
      <c r="G412" s="100">
        <f t="shared" si="6"/>
        <v>54.84</v>
      </c>
      <c r="H412" s="101"/>
      <c r="I412" s="100">
        <f>G412*H412</f>
        <v>0</v>
      </c>
      <c r="J412" s="39" t="s">
        <v>3336</v>
      </c>
      <c r="K412" s="40" t="s">
        <v>31</v>
      </c>
      <c r="L412" s="41"/>
      <c r="M412" s="42" t="str">
        <f>HYPERLINK("https://catalog.onliner.by/christmasdecor/neonnight/501081", "https://catalog.onliner.by/christmasdecor/neonnight/501081")</f>
        <v>https://catalog.onliner.by/christmasdecor/neonnight/501081</v>
      </c>
      <c r="N412" s="42" t="str">
        <f>HYPERLINK("https://pronto.by/catalog/product/501-081.html", "https://pronto.by/catalog/product/501-081.html")</f>
        <v>https://pronto.by/catalog/product/501-081.html</v>
      </c>
    </row>
    <row r="413" spans="1:14" customFormat="1" ht="41.4">
      <c r="A413" s="35" t="s">
        <v>1029</v>
      </c>
      <c r="B413" s="19" t="s">
        <v>1030</v>
      </c>
      <c r="C413" s="20" t="s">
        <v>1031</v>
      </c>
      <c r="D413" s="36" t="s">
        <v>28</v>
      </c>
      <c r="E413" s="37" t="s">
        <v>3283</v>
      </c>
      <c r="F413" s="43">
        <v>54.84</v>
      </c>
      <c r="G413" s="100">
        <f t="shared" si="6"/>
        <v>54.84</v>
      </c>
      <c r="H413" s="101"/>
      <c r="I413" s="100">
        <f>G413*H413</f>
        <v>0</v>
      </c>
      <c r="J413" s="39" t="s">
        <v>3336</v>
      </c>
      <c r="K413" s="40" t="s">
        <v>31</v>
      </c>
      <c r="L413" s="41"/>
      <c r="M413" s="42" t="str">
        <f>HYPERLINK("https://catalog.onliner.by/christmasdecor/neonnight/501082501082", "https://catalog.onliner.by/christmasdecor/neonnight/501082501082")</f>
        <v>https://catalog.onliner.by/christmasdecor/neonnight/501082501082</v>
      </c>
      <c r="N413" s="42" t="str">
        <f>HYPERLINK("https://pronto.by/catalog/product/501-082.html", "https://pronto.by/catalog/product/501-082.html")</f>
        <v>https://pronto.by/catalog/product/501-082.html</v>
      </c>
    </row>
    <row r="414" spans="1:14" customFormat="1" ht="62.4">
      <c r="A414" s="35" t="s">
        <v>1032</v>
      </c>
      <c r="B414" s="19" t="s">
        <v>1033</v>
      </c>
      <c r="C414" s="20" t="s">
        <v>1034</v>
      </c>
      <c r="D414" s="36" t="s">
        <v>28</v>
      </c>
      <c r="E414" s="37" t="s">
        <v>3292</v>
      </c>
      <c r="F414" s="43">
        <v>86.820000000000007</v>
      </c>
      <c r="G414" s="100">
        <f t="shared" si="6"/>
        <v>86.82</v>
      </c>
      <c r="H414" s="101"/>
      <c r="I414" s="100">
        <f>G414*H414</f>
        <v>0</v>
      </c>
      <c r="J414" s="39" t="s">
        <v>3336</v>
      </c>
      <c r="K414" s="40" t="s">
        <v>31</v>
      </c>
      <c r="L414" s="41" t="s">
        <v>3539</v>
      </c>
      <c r="M414" s="42" t="str">
        <f>HYPERLINK("https://catalog.onliner.by/christmasdecor/neonnight/513034", "https://catalog.onliner.by/christmasdecor/neonnight/513034")</f>
        <v>https://catalog.onliner.by/christmasdecor/neonnight/513034</v>
      </c>
      <c r="N414" s="42" t="str">
        <f>HYPERLINK("https://pronto.by/catalog/product/513-034.html", "https://pronto.by/catalog/product/513-034.html")</f>
        <v>https://pronto.by/catalog/product/513-034.html</v>
      </c>
    </row>
    <row r="415" spans="1:14" customFormat="1" ht="15.6">
      <c r="A415" s="80" t="s">
        <v>3540</v>
      </c>
      <c r="B415" s="67"/>
      <c r="C415" s="67"/>
      <c r="D415" s="32"/>
      <c r="E415" s="32"/>
      <c r="F415" s="32"/>
      <c r="G415" s="52"/>
      <c r="H415" s="52"/>
      <c r="I415" s="52"/>
      <c r="J415" s="32"/>
      <c r="K415" s="32"/>
      <c r="L415" s="33"/>
      <c r="M415" s="33"/>
      <c r="N415" s="34"/>
    </row>
    <row r="416" spans="1:14" customFormat="1" ht="69">
      <c r="A416" s="35" t="s">
        <v>1035</v>
      </c>
      <c r="B416" s="19" t="s">
        <v>1036</v>
      </c>
      <c r="C416" s="20" t="s">
        <v>1037</v>
      </c>
      <c r="D416" s="36" t="s">
        <v>28</v>
      </c>
      <c r="E416" s="37" t="s">
        <v>3291</v>
      </c>
      <c r="F416" s="43">
        <v>49.38</v>
      </c>
      <c r="G416" s="100">
        <f t="shared" si="6"/>
        <v>49.38</v>
      </c>
      <c r="H416" s="101"/>
      <c r="I416" s="100">
        <f>G416*H416</f>
        <v>0</v>
      </c>
      <c r="J416" s="39" t="s">
        <v>3336</v>
      </c>
      <c r="K416" s="40" t="s">
        <v>31</v>
      </c>
      <c r="L416" s="41"/>
      <c r="M416" s="42" t="str">
        <f>HYPERLINK("https://catalog.onliner.by/xmaslights/neonnight/nn513341", "https://catalog.onliner.by/xmaslights/neonnight/nn513341")</f>
        <v>https://catalog.onliner.by/xmaslights/neonnight/nn513341</v>
      </c>
      <c r="N416" s="42" t="str">
        <f>HYPERLINK("https://pronto.by/catalog/product/513-341.html", "https://pronto.by/catalog/product/513-341.html")</f>
        <v>https://pronto.by/catalog/product/513-341.html</v>
      </c>
    </row>
    <row r="417" spans="1:14" customFormat="1" ht="69">
      <c r="A417" s="35" t="s">
        <v>1038</v>
      </c>
      <c r="B417" s="19" t="s">
        <v>1039</v>
      </c>
      <c r="C417" s="20" t="s">
        <v>1040</v>
      </c>
      <c r="D417" s="36" t="s">
        <v>28</v>
      </c>
      <c r="E417" s="37" t="s">
        <v>3291</v>
      </c>
      <c r="F417" s="43">
        <v>54.84</v>
      </c>
      <c r="G417" s="100">
        <f t="shared" si="6"/>
        <v>54.84</v>
      </c>
      <c r="H417" s="101"/>
      <c r="I417" s="100">
        <f>G417*H417</f>
        <v>0</v>
      </c>
      <c r="J417" s="39" t="s">
        <v>3336</v>
      </c>
      <c r="K417" s="40" t="s">
        <v>31</v>
      </c>
      <c r="L417" s="41"/>
      <c r="M417" s="42" t="str">
        <f>HYPERLINK("https://catalog.onliner.by/xmaslights/neonnight/nn513247", "https://catalog.onliner.by/xmaslights/neonnight/nn513247")</f>
        <v>https://catalog.onliner.by/xmaslights/neonnight/nn513247</v>
      </c>
      <c r="N417" s="42" t="str">
        <f>HYPERLINK("https://pronto.by/catalog/product/513-247.html", "https://pronto.by/catalog/product/513-247.html")</f>
        <v>https://pronto.by/catalog/product/513-247.html</v>
      </c>
    </row>
    <row r="418" spans="1:14" customFormat="1" ht="69">
      <c r="A418" s="35" t="s">
        <v>3541</v>
      </c>
      <c r="B418" s="19" t="s">
        <v>3542</v>
      </c>
      <c r="C418" s="20" t="s">
        <v>3543</v>
      </c>
      <c r="D418" s="36" t="s">
        <v>28</v>
      </c>
      <c r="E418" s="37" t="s">
        <v>3282</v>
      </c>
      <c r="F418" s="43">
        <v>66.42</v>
      </c>
      <c r="G418" s="100">
        <f t="shared" si="6"/>
        <v>66.42</v>
      </c>
      <c r="H418" s="101"/>
      <c r="I418" s="100">
        <f>G418*H418</f>
        <v>0</v>
      </c>
      <c r="J418" s="39" t="s">
        <v>3336</v>
      </c>
      <c r="K418" s="40" t="s">
        <v>31</v>
      </c>
      <c r="L418" s="41"/>
      <c r="M418" s="42" t="str">
        <f>HYPERLINK("https://catalog.onliner.by/xmaslights/neonnight/nn513322", "https://catalog.onliner.by/xmaslights/neonnight/nn513322")</f>
        <v>https://catalog.onliner.by/xmaslights/neonnight/nn513322</v>
      </c>
      <c r="N418" s="42" t="str">
        <f>HYPERLINK("https://pronto.by/catalog/product/513-322.html", "https://pronto.by/catalog/product/513-322.html")</f>
        <v>https://pronto.by/catalog/product/513-322.html</v>
      </c>
    </row>
    <row r="419" spans="1:14" customFormat="1" ht="69">
      <c r="A419" s="35" t="s">
        <v>1041</v>
      </c>
      <c r="B419" s="19" t="s">
        <v>1042</v>
      </c>
      <c r="C419" s="20" t="s">
        <v>1043</v>
      </c>
      <c r="D419" s="36" t="s">
        <v>28</v>
      </c>
      <c r="E419" s="37" t="s">
        <v>3282</v>
      </c>
      <c r="F419" s="43">
        <v>86.820000000000007</v>
      </c>
      <c r="G419" s="100">
        <f t="shared" si="6"/>
        <v>86.82</v>
      </c>
      <c r="H419" s="101"/>
      <c r="I419" s="100">
        <f>G419*H419</f>
        <v>0</v>
      </c>
      <c r="J419" s="39" t="s">
        <v>3336</v>
      </c>
      <c r="K419" s="40" t="s">
        <v>31</v>
      </c>
      <c r="L419" s="41"/>
      <c r="M419" s="42" t="str">
        <f>HYPERLINK("https://catalog.onliner.by/xmaslights/neonnight/nn513316", "https://catalog.onliner.by/xmaslights/neonnight/nn513316")</f>
        <v>https://catalog.onliner.by/xmaslights/neonnight/nn513316</v>
      </c>
      <c r="N419" s="42" t="str">
        <f>HYPERLINK("https://pronto.by/catalog/product/513-316.html", "https://pronto.by/catalog/product/513-316.html")</f>
        <v>https://pronto.by/catalog/product/513-316.html</v>
      </c>
    </row>
    <row r="420" spans="1:14" customFormat="1" ht="69">
      <c r="A420" s="35" t="s">
        <v>1044</v>
      </c>
      <c r="B420" s="19" t="s">
        <v>1045</v>
      </c>
      <c r="C420" s="20" t="s">
        <v>1046</v>
      </c>
      <c r="D420" s="36" t="s">
        <v>28</v>
      </c>
      <c r="E420" s="37" t="s">
        <v>3290</v>
      </c>
      <c r="F420" s="43">
        <v>86.820000000000007</v>
      </c>
      <c r="G420" s="100">
        <f t="shared" si="6"/>
        <v>86.82</v>
      </c>
      <c r="H420" s="101"/>
      <c r="I420" s="100">
        <f>G420*H420</f>
        <v>0</v>
      </c>
      <c r="J420" s="39" t="s">
        <v>3336</v>
      </c>
      <c r="K420" s="40" t="s">
        <v>31</v>
      </c>
      <c r="L420" s="41"/>
      <c r="M420" s="42" t="str">
        <f>HYPERLINK("https://catalog.onliner.by/xmaslights/neonnight/nn513315", "https://catalog.onliner.by/xmaslights/neonnight/nn513315")</f>
        <v>https://catalog.onliner.by/xmaslights/neonnight/nn513315</v>
      </c>
      <c r="N420" s="42" t="str">
        <f>HYPERLINK("https://pronto.by/catalog/product/513-315.html", "https://pronto.by/catalog/product/513-315.html")</f>
        <v>https://pronto.by/catalog/product/513-315.html</v>
      </c>
    </row>
    <row r="421" spans="1:14" customFormat="1" ht="69">
      <c r="A421" s="35" t="s">
        <v>3544</v>
      </c>
      <c r="B421" s="19" t="s">
        <v>3545</v>
      </c>
      <c r="C421" s="20" t="s">
        <v>3546</v>
      </c>
      <c r="D421" s="36" t="s">
        <v>28</v>
      </c>
      <c r="E421" s="37" t="s">
        <v>3290</v>
      </c>
      <c r="F421" s="43">
        <v>61.680000000000007</v>
      </c>
      <c r="G421" s="100">
        <f t="shared" si="6"/>
        <v>61.68</v>
      </c>
      <c r="H421" s="101"/>
      <c r="I421" s="100">
        <f>G421*H421</f>
        <v>0</v>
      </c>
      <c r="J421" s="39" t="s">
        <v>3336</v>
      </c>
      <c r="K421" s="40" t="s">
        <v>31</v>
      </c>
      <c r="L421" s="41"/>
      <c r="M421" s="42" t="str">
        <f>HYPERLINK("https://catalog.onliner.by/xmaslights/neonnight/nn513312", "https://catalog.onliner.by/xmaslights/neonnight/nn513312")</f>
        <v>https://catalog.onliner.by/xmaslights/neonnight/nn513312</v>
      </c>
      <c r="N421" s="42" t="str">
        <f>HYPERLINK("https://pronto.by/catalog/product/513-312.html", "https://pronto.by/catalog/product/513-312.html")</f>
        <v>https://pronto.by/catalog/product/513-312.html</v>
      </c>
    </row>
    <row r="422" spans="1:14" customFormat="1" ht="69">
      <c r="A422" s="35" t="s">
        <v>1047</v>
      </c>
      <c r="B422" s="19" t="s">
        <v>1048</v>
      </c>
      <c r="C422" s="20" t="s">
        <v>1049</v>
      </c>
      <c r="D422" s="36" t="s">
        <v>28</v>
      </c>
      <c r="E422" s="37" t="s">
        <v>3290</v>
      </c>
      <c r="F422" s="43">
        <v>54.84</v>
      </c>
      <c r="G422" s="100">
        <f t="shared" si="6"/>
        <v>54.84</v>
      </c>
      <c r="H422" s="101"/>
      <c r="I422" s="100">
        <f>G422*H422</f>
        <v>0</v>
      </c>
      <c r="J422" s="39" t="s">
        <v>3336</v>
      </c>
      <c r="K422" s="40" t="s">
        <v>31</v>
      </c>
      <c r="L422" s="41"/>
      <c r="M422" s="42" t="str">
        <f>HYPERLINK("https://catalog.onliner.by/xmaslights/neonnight/nn513311", "https://catalog.onliner.by/xmaslights/neonnight/nn513311")</f>
        <v>https://catalog.onliner.by/xmaslights/neonnight/nn513311</v>
      </c>
      <c r="N422" s="42" t="str">
        <f>HYPERLINK("https://pronto.by/catalog/product/513-311.html", "https://pronto.by/catalog/product/513-311.html")</f>
        <v>https://pronto.by/catalog/product/513-311.html</v>
      </c>
    </row>
    <row r="423" spans="1:14" customFormat="1" ht="41.4">
      <c r="A423" s="35" t="s">
        <v>1050</v>
      </c>
      <c r="B423" s="19" t="s">
        <v>1051</v>
      </c>
      <c r="C423" s="20" t="s">
        <v>1052</v>
      </c>
      <c r="D423" s="36" t="s">
        <v>28</v>
      </c>
      <c r="E423" s="37" t="s">
        <v>3280</v>
      </c>
      <c r="F423" s="43">
        <v>78.12</v>
      </c>
      <c r="G423" s="100">
        <f t="shared" si="6"/>
        <v>78.12</v>
      </c>
      <c r="H423" s="101"/>
      <c r="I423" s="100">
        <f>G423*H423</f>
        <v>0</v>
      </c>
      <c r="J423" s="39" t="s">
        <v>3336</v>
      </c>
      <c r="K423" s="40" t="s">
        <v>31</v>
      </c>
      <c r="L423" s="41"/>
      <c r="M423" s="42" t="str">
        <f>HYPERLINK("https://catalog.onliner.by/xmaslights/neonnight/nn513401", "https://catalog.onliner.by/xmaslights/neonnight/nn513401")</f>
        <v>https://catalog.onliner.by/xmaslights/neonnight/nn513401</v>
      </c>
      <c r="N423" s="42" t="str">
        <f>HYPERLINK("https://pronto.by/catalog/product/513-401.html", "https://pronto.by/catalog/product/513-401.html")</f>
        <v>https://pronto.by/catalog/product/513-401.html</v>
      </c>
    </row>
    <row r="424" spans="1:14" customFormat="1" ht="69">
      <c r="A424" s="35" t="s">
        <v>1053</v>
      </c>
      <c r="B424" s="19" t="s">
        <v>1054</v>
      </c>
      <c r="C424" s="20" t="s">
        <v>1055</v>
      </c>
      <c r="D424" s="36" t="s">
        <v>28</v>
      </c>
      <c r="E424" s="37" t="s">
        <v>3290</v>
      </c>
      <c r="F424" s="43">
        <v>123</v>
      </c>
      <c r="G424" s="100">
        <f t="shared" si="6"/>
        <v>123</v>
      </c>
      <c r="H424" s="101"/>
      <c r="I424" s="100">
        <f>G424*H424</f>
        <v>0</v>
      </c>
      <c r="J424" s="39" t="s">
        <v>3336</v>
      </c>
      <c r="K424" s="40" t="s">
        <v>31</v>
      </c>
      <c r="L424" s="41"/>
      <c r="M424" s="42" t="str">
        <f>HYPERLINK("https://catalog.onliner.by/xmaslights/neonnight/nn513321", "https://catalog.onliner.by/xmaslights/neonnight/nn513321")</f>
        <v>https://catalog.onliner.by/xmaslights/neonnight/nn513321</v>
      </c>
      <c r="N424" s="42" t="str">
        <f>HYPERLINK("https://pronto.by/catalog/product/513-321.html", "https://pronto.by/catalog/product/513-321.html")</f>
        <v>https://pronto.by/catalog/product/513-321.html</v>
      </c>
    </row>
    <row r="425" spans="1:14" customFormat="1" ht="69">
      <c r="A425" s="35" t="s">
        <v>1056</v>
      </c>
      <c r="B425" s="19" t="s">
        <v>1057</v>
      </c>
      <c r="C425" s="20" t="s">
        <v>1058</v>
      </c>
      <c r="D425" s="36" t="s">
        <v>28</v>
      </c>
      <c r="E425" s="37" t="s">
        <v>3282</v>
      </c>
      <c r="F425" s="43">
        <v>78.12</v>
      </c>
      <c r="G425" s="100">
        <f t="shared" si="6"/>
        <v>78.12</v>
      </c>
      <c r="H425" s="101"/>
      <c r="I425" s="100">
        <f>G425*H425</f>
        <v>0</v>
      </c>
      <c r="J425" s="39" t="s">
        <v>3336</v>
      </c>
      <c r="K425" s="40" t="s">
        <v>31</v>
      </c>
      <c r="L425" s="41"/>
      <c r="M425" s="42" t="str">
        <f>HYPERLINK("https://catalog.onliner.by/xmaslights/neonnight/nn513314", "https://catalog.onliner.by/xmaslights/neonnight/nn513314")</f>
        <v>https://catalog.onliner.by/xmaslights/neonnight/nn513314</v>
      </c>
      <c r="N425" s="42" t="str">
        <f>HYPERLINK("https://pronto.by/catalog/product/513-314.html", "https://pronto.by/catalog/product/513-314.html")</f>
        <v>https://pronto.by/catalog/product/513-314.html</v>
      </c>
    </row>
    <row r="426" spans="1:14" customFormat="1" ht="69">
      <c r="A426" s="35" t="s">
        <v>1059</v>
      </c>
      <c r="B426" s="19" t="s">
        <v>1060</v>
      </c>
      <c r="C426" s="20" t="s">
        <v>1061</v>
      </c>
      <c r="D426" s="36" t="s">
        <v>28</v>
      </c>
      <c r="E426" s="37" t="s">
        <v>3282</v>
      </c>
      <c r="F426" s="43">
        <v>86.820000000000007</v>
      </c>
      <c r="G426" s="100">
        <f t="shared" si="6"/>
        <v>86.82</v>
      </c>
      <c r="H426" s="101"/>
      <c r="I426" s="100">
        <f>G426*H426</f>
        <v>0</v>
      </c>
      <c r="J426" s="39" t="s">
        <v>3336</v>
      </c>
      <c r="K426" s="40" t="s">
        <v>31</v>
      </c>
      <c r="L426" s="41"/>
      <c r="M426" s="42" t="str">
        <f>HYPERLINK("https://catalog.onliner.by/xmaslights/neonnight/nn513323", "https://catalog.onliner.by/xmaslights/neonnight/nn513323")</f>
        <v>https://catalog.onliner.by/xmaslights/neonnight/nn513323</v>
      </c>
      <c r="N426" s="42" t="str">
        <f>HYPERLINK("https://pronto.by/catalog/product/513-323.html", "https://pronto.by/catalog/product/513-323.html")</f>
        <v>https://pronto.by/catalog/product/513-323.html</v>
      </c>
    </row>
    <row r="427" spans="1:14" customFormat="1" ht="69">
      <c r="A427" s="35" t="s">
        <v>3547</v>
      </c>
      <c r="B427" s="19" t="s">
        <v>3548</v>
      </c>
      <c r="C427" s="20" t="s">
        <v>3549</v>
      </c>
      <c r="D427" s="36" t="s">
        <v>28</v>
      </c>
      <c r="E427" s="37" t="s">
        <v>3290</v>
      </c>
      <c r="F427" s="43">
        <v>116.82000000000001</v>
      </c>
      <c r="G427" s="100">
        <f t="shared" si="6"/>
        <v>116.82</v>
      </c>
      <c r="H427" s="101"/>
      <c r="I427" s="100">
        <f>G427*H427</f>
        <v>0</v>
      </c>
      <c r="J427" s="39" t="s">
        <v>3336</v>
      </c>
      <c r="K427" s="40" t="s">
        <v>31</v>
      </c>
      <c r="L427" s="41"/>
      <c r="M427" s="42" t="str">
        <f>HYPERLINK("https://catalog.onliner.by/xmaslights/neonnight/nn513324", "https://catalog.onliner.by/xmaslights/neonnight/nn513324")</f>
        <v>https://catalog.onliner.by/xmaslights/neonnight/nn513324</v>
      </c>
      <c r="N427" s="42" t="str">
        <f>HYPERLINK("https://pronto.by/catalog/product/513-324.html", "https://pronto.by/catalog/product/513-324.html")</f>
        <v>https://pronto.by/catalog/product/513-324.html</v>
      </c>
    </row>
    <row r="428" spans="1:14" customFormat="1" ht="69">
      <c r="A428" s="35" t="s">
        <v>1062</v>
      </c>
      <c r="B428" s="19" t="s">
        <v>1063</v>
      </c>
      <c r="C428" s="20" t="s">
        <v>1064</v>
      </c>
      <c r="D428" s="36" t="s">
        <v>28</v>
      </c>
      <c r="E428" s="37" t="s">
        <v>3292</v>
      </c>
      <c r="F428" s="43">
        <v>194.64000000000001</v>
      </c>
      <c r="G428" s="100">
        <f t="shared" si="6"/>
        <v>194.64</v>
      </c>
      <c r="H428" s="101"/>
      <c r="I428" s="100">
        <f>G428*H428</f>
        <v>0</v>
      </c>
      <c r="J428" s="39" t="s">
        <v>3336</v>
      </c>
      <c r="K428" s="40" t="s">
        <v>31</v>
      </c>
      <c r="L428" s="41"/>
      <c r="M428" s="42" t="str">
        <f>HYPERLINK("https://catalog.onliner.by/xmaslights/neonnight/nn513273", "https://catalog.onliner.by/xmaslights/neonnight/nn513273")</f>
        <v>https://catalog.onliner.by/xmaslights/neonnight/nn513273</v>
      </c>
      <c r="N428" s="42" t="str">
        <f>HYPERLINK("https://pronto.by/catalog/product/513-273.html", "https://pronto.by/catalog/product/513-273.html")</f>
        <v>https://pronto.by/catalog/product/513-273.html</v>
      </c>
    </row>
    <row r="429" spans="1:14" customFormat="1" ht="69">
      <c r="A429" s="35" t="s">
        <v>1065</v>
      </c>
      <c r="B429" s="19" t="s">
        <v>1066</v>
      </c>
      <c r="C429" s="20" t="s">
        <v>1067</v>
      </c>
      <c r="D429" s="36" t="s">
        <v>28</v>
      </c>
      <c r="E429" s="37" t="s">
        <v>3290</v>
      </c>
      <c r="F429" s="43">
        <v>268.38</v>
      </c>
      <c r="G429" s="100">
        <f t="shared" si="6"/>
        <v>268.38</v>
      </c>
      <c r="H429" s="101"/>
      <c r="I429" s="100">
        <f>G429*H429</f>
        <v>0</v>
      </c>
      <c r="J429" s="39" t="s">
        <v>3336</v>
      </c>
      <c r="K429" s="40" t="s">
        <v>31</v>
      </c>
      <c r="L429" s="41"/>
      <c r="M429" s="42" t="str">
        <f>HYPERLINK("https://catalog.onliner.by/xmaslights/neonnight/nn513270", "https://catalog.onliner.by/xmaslights/neonnight/nn513270")</f>
        <v>https://catalog.onliner.by/xmaslights/neonnight/nn513270</v>
      </c>
      <c r="N429" s="42" t="str">
        <f>HYPERLINK("https://pronto.by/catalog/product/513-270.html", "https://pronto.by/catalog/product/513-270.html")</f>
        <v>https://pronto.by/catalog/product/513-270.html</v>
      </c>
    </row>
    <row r="430" spans="1:14" customFormat="1" ht="41.4">
      <c r="A430" s="35" t="s">
        <v>1068</v>
      </c>
      <c r="B430" s="19" t="s">
        <v>1069</v>
      </c>
      <c r="C430" s="20" t="s">
        <v>1070</v>
      </c>
      <c r="D430" s="36" t="s">
        <v>28</v>
      </c>
      <c r="E430" s="37" t="s">
        <v>3292</v>
      </c>
      <c r="F430" s="43">
        <v>200.4</v>
      </c>
      <c r="G430" s="100">
        <f t="shared" si="6"/>
        <v>200.4</v>
      </c>
      <c r="H430" s="101"/>
      <c r="I430" s="100">
        <f>G430*H430</f>
        <v>0</v>
      </c>
      <c r="J430" s="39" t="s">
        <v>3336</v>
      </c>
      <c r="K430" s="40" t="s">
        <v>31</v>
      </c>
      <c r="L430" s="41"/>
      <c r="M430" s="42" t="str">
        <f>HYPERLINK("https://catalog.onliner.by/xmaslights/neonnight/nnn513346", "https://catalog.onliner.by/xmaslights/neonnight/nnn513346")</f>
        <v>https://catalog.onliner.by/xmaslights/neonnight/nnn513346</v>
      </c>
      <c r="N430" s="42" t="str">
        <f>HYPERLINK("https://pronto.by/catalog/product/513-346.html", "https://pronto.by/catalog/product/513-346.html")</f>
        <v>https://pronto.by/catalog/product/513-346.html</v>
      </c>
    </row>
    <row r="431" spans="1:14" customFormat="1" ht="69">
      <c r="A431" s="35" t="s">
        <v>3550</v>
      </c>
      <c r="B431" s="19" t="s">
        <v>3551</v>
      </c>
      <c r="C431" s="20" t="s">
        <v>3552</v>
      </c>
      <c r="D431" s="36" t="s">
        <v>28</v>
      </c>
      <c r="E431" s="37" t="s">
        <v>3290</v>
      </c>
      <c r="F431" s="43">
        <v>123</v>
      </c>
      <c r="G431" s="100">
        <f t="shared" si="6"/>
        <v>123</v>
      </c>
      <c r="H431" s="101"/>
      <c r="I431" s="100">
        <f>G431*H431</f>
        <v>0</v>
      </c>
      <c r="J431" s="39" t="s">
        <v>3336</v>
      </c>
      <c r="K431" s="40" t="s">
        <v>31</v>
      </c>
      <c r="L431" s="41"/>
      <c r="M431" s="42" t="str">
        <f>HYPERLINK("https://catalog.onliner.by/xmaslights/neonnight/nn513325", "https://catalog.onliner.by/xmaslights/neonnight/nn513325")</f>
        <v>https://catalog.onliner.by/xmaslights/neonnight/nn513325</v>
      </c>
      <c r="N431" s="42" t="str">
        <f>HYPERLINK("https://pronto.by/catalog/product/513-325.html", "https://pronto.by/catalog/product/513-325.html")</f>
        <v>https://pronto.by/catalog/product/513-325.html</v>
      </c>
    </row>
    <row r="432" spans="1:14" customFormat="1" ht="69">
      <c r="A432" s="35" t="s">
        <v>3553</v>
      </c>
      <c r="B432" s="19" t="s">
        <v>3554</v>
      </c>
      <c r="C432" s="20" t="s">
        <v>3555</v>
      </c>
      <c r="D432" s="36" t="s">
        <v>28</v>
      </c>
      <c r="E432" s="37" t="s">
        <v>3282</v>
      </c>
      <c r="F432" s="43">
        <v>185.28</v>
      </c>
      <c r="G432" s="100">
        <f t="shared" si="6"/>
        <v>185.28</v>
      </c>
      <c r="H432" s="101"/>
      <c r="I432" s="100">
        <f>G432*H432</f>
        <v>0</v>
      </c>
      <c r="J432" s="39" t="s">
        <v>3336</v>
      </c>
      <c r="K432" s="40" t="s">
        <v>31</v>
      </c>
      <c r="L432" s="41"/>
      <c r="M432" s="42" t="str">
        <f>HYPERLINK("https://catalog.onliner.by/xmaslights/neonnight/nn513275", "https://catalog.onliner.by/xmaslights/neonnight/nn513275")</f>
        <v>https://catalog.onliner.by/xmaslights/neonnight/nn513275</v>
      </c>
      <c r="N432" s="42" t="str">
        <f>HYPERLINK("https://pronto.by/catalog/product/513-275.html", "https://pronto.by/catalog/product/513-275.html")</f>
        <v>https://pronto.by/catalog/product/513-275.html</v>
      </c>
    </row>
    <row r="433" spans="1:14" customFormat="1" ht="15.6">
      <c r="A433" s="80" t="s">
        <v>3556</v>
      </c>
      <c r="B433" s="67"/>
      <c r="C433" s="67"/>
      <c r="D433" s="32"/>
      <c r="E433" s="32"/>
      <c r="F433" s="32"/>
      <c r="G433" s="52"/>
      <c r="H433" s="52"/>
      <c r="I433" s="52"/>
      <c r="J433" s="32"/>
      <c r="K433" s="32"/>
      <c r="L433" s="33"/>
      <c r="M433" s="33"/>
      <c r="N433" s="34"/>
    </row>
    <row r="434" spans="1:14" customFormat="1" ht="30.6">
      <c r="A434" s="35" t="s">
        <v>3557</v>
      </c>
      <c r="B434" s="19" t="s">
        <v>3558</v>
      </c>
      <c r="C434" s="20" t="s">
        <v>3559</v>
      </c>
      <c r="D434" s="36" t="s">
        <v>28</v>
      </c>
      <c r="E434" s="37" t="s">
        <v>3560</v>
      </c>
      <c r="F434" s="43">
        <v>3.24</v>
      </c>
      <c r="G434" s="100">
        <f t="shared" si="6"/>
        <v>3.24</v>
      </c>
      <c r="H434" s="101"/>
      <c r="I434" s="100">
        <f>G434*H434</f>
        <v>0</v>
      </c>
      <c r="J434" s="39" t="s">
        <v>3336</v>
      </c>
      <c r="K434" s="40" t="s">
        <v>31</v>
      </c>
      <c r="L434" s="41"/>
      <c r="M434" s="42" t="str">
        <f>HYPERLINK("https://catalog.onliner.by/christmasdecor/neonnight/nn501039", "https://catalog.onliner.by/christmasdecor/neonnight/nn501039")</f>
        <v>https://catalog.onliner.by/christmasdecor/neonnight/nn501039</v>
      </c>
      <c r="N434" s="42" t="str">
        <f>HYPERLINK("https://pronto.by/catalog/product/501-039.html", "https://pronto.by/catalog/product/501-039.html")</f>
        <v>https://pronto.by/catalog/product/501-039.html</v>
      </c>
    </row>
    <row r="435" spans="1:14" customFormat="1" ht="30.6">
      <c r="A435" s="35" t="s">
        <v>1071</v>
      </c>
      <c r="B435" s="19" t="s">
        <v>1072</v>
      </c>
      <c r="C435" s="20" t="s">
        <v>1073</v>
      </c>
      <c r="D435" s="36" t="s">
        <v>28</v>
      </c>
      <c r="E435" s="37" t="s">
        <v>3258</v>
      </c>
      <c r="F435" s="43">
        <v>8.16</v>
      </c>
      <c r="G435" s="100">
        <f t="shared" si="6"/>
        <v>8.16</v>
      </c>
      <c r="H435" s="101"/>
      <c r="I435" s="100">
        <f>G435*H435</f>
        <v>0</v>
      </c>
      <c r="J435" s="39" t="s">
        <v>3336</v>
      </c>
      <c r="K435" s="40" t="s">
        <v>31</v>
      </c>
      <c r="L435" s="41"/>
      <c r="M435" s="42" t="s">
        <v>1074</v>
      </c>
      <c r="N435" s="44"/>
    </row>
    <row r="436" spans="1:14" customFormat="1" ht="30.6">
      <c r="A436" s="35" t="s">
        <v>3561</v>
      </c>
      <c r="B436" s="19" t="s">
        <v>3562</v>
      </c>
      <c r="C436" s="20" t="s">
        <v>3563</v>
      </c>
      <c r="D436" s="36" t="s">
        <v>28</v>
      </c>
      <c r="E436" s="37" t="s">
        <v>3560</v>
      </c>
      <c r="F436" s="43">
        <v>3.42</v>
      </c>
      <c r="G436" s="100">
        <f t="shared" si="6"/>
        <v>3.42</v>
      </c>
      <c r="H436" s="101"/>
      <c r="I436" s="100">
        <f>G436*H436</f>
        <v>0</v>
      </c>
      <c r="J436" s="39" t="s">
        <v>3336</v>
      </c>
      <c r="K436" s="40" t="s">
        <v>31</v>
      </c>
      <c r="L436" s="41"/>
      <c r="M436" s="42" t="str">
        <f>HYPERLINK("https://catalog.onliner.by/christmasdecor/neonnight/nn501037", "https://catalog.onliner.by/christmasdecor/neonnight/nn501037")</f>
        <v>https://catalog.onliner.by/christmasdecor/neonnight/nn501037</v>
      </c>
      <c r="N436" s="42" t="str">
        <f>HYPERLINK("https://pronto.by/catalog/product/501-037.html", "https://pronto.by/catalog/product/501-037.html")</f>
        <v>https://pronto.by/catalog/product/501-037.html</v>
      </c>
    </row>
    <row r="437" spans="1:14" customFormat="1" ht="30.6">
      <c r="A437" s="35" t="s">
        <v>1075</v>
      </c>
      <c r="B437" s="19" t="s">
        <v>1076</v>
      </c>
      <c r="C437" s="20" t="s">
        <v>1077</v>
      </c>
      <c r="D437" s="36" t="s">
        <v>28</v>
      </c>
      <c r="E437" s="37" t="s">
        <v>3276</v>
      </c>
      <c r="F437" s="43">
        <v>6.0600000000000005</v>
      </c>
      <c r="G437" s="100">
        <f t="shared" si="6"/>
        <v>6.06</v>
      </c>
      <c r="H437" s="101"/>
      <c r="I437" s="100">
        <f>G437*H437</f>
        <v>0</v>
      </c>
      <c r="J437" s="39" t="s">
        <v>3336</v>
      </c>
      <c r="K437" s="40" t="s">
        <v>31</v>
      </c>
      <c r="L437" s="41"/>
      <c r="M437" s="42" t="str">
        <f>HYPERLINK("https://catalog.onliner.by/xmaslights/neonnight/nn501024", "https://catalog.onliner.by/xmaslights/neonnight/nn501024")</f>
        <v>https://catalog.onliner.by/xmaslights/neonnight/nn501024</v>
      </c>
      <c r="N437" s="42" t="str">
        <f>HYPERLINK("https://pronto.by/catalog/product/501-024.html", "https://pronto.by/catalog/product/501-024.html")</f>
        <v>https://pronto.by/catalog/product/501-024.html</v>
      </c>
    </row>
    <row r="438" spans="1:14" customFormat="1" ht="30.6">
      <c r="A438" s="35" t="s">
        <v>1078</v>
      </c>
      <c r="B438" s="19" t="s">
        <v>1079</v>
      </c>
      <c r="C438" s="20" t="s">
        <v>1080</v>
      </c>
      <c r="D438" s="36" t="s">
        <v>28</v>
      </c>
      <c r="E438" s="37" t="s">
        <v>3276</v>
      </c>
      <c r="F438" s="43">
        <v>6.0600000000000005</v>
      </c>
      <c r="G438" s="100">
        <f t="shared" si="6"/>
        <v>6.06</v>
      </c>
      <c r="H438" s="101"/>
      <c r="I438" s="100">
        <f>G438*H438</f>
        <v>0</v>
      </c>
      <c r="J438" s="39" t="s">
        <v>3336</v>
      </c>
      <c r="K438" s="40" t="s">
        <v>31</v>
      </c>
      <c r="L438" s="41"/>
      <c r="M438" s="42" t="str">
        <f>HYPERLINK("https://catalog.onliner.by/xmaslights/neonnight/nn501023", "https://catalog.onliner.by/xmaslights/neonnight/nn501023")</f>
        <v>https://catalog.onliner.by/xmaslights/neonnight/nn501023</v>
      </c>
      <c r="N438" s="42" t="str">
        <f>HYPERLINK("https://pronto.by/catalog/product/501-023.html", "https://pronto.by/catalog/product/501-023.html")</f>
        <v>https://pronto.by/catalog/product/501-023.html</v>
      </c>
    </row>
    <row r="439" spans="1:14" customFormat="1" ht="30.6">
      <c r="A439" s="35" t="s">
        <v>1081</v>
      </c>
      <c r="B439" s="19" t="s">
        <v>1082</v>
      </c>
      <c r="C439" s="20" t="s">
        <v>1083</v>
      </c>
      <c r="D439" s="36" t="s">
        <v>28</v>
      </c>
      <c r="E439" s="37" t="s">
        <v>3276</v>
      </c>
      <c r="F439" s="43">
        <v>6.0600000000000005</v>
      </c>
      <c r="G439" s="100">
        <f t="shared" si="6"/>
        <v>6.06</v>
      </c>
      <c r="H439" s="101"/>
      <c r="I439" s="100">
        <f>G439*H439</f>
        <v>0</v>
      </c>
      <c r="J439" s="39" t="s">
        <v>3336</v>
      </c>
      <c r="K439" s="40" t="s">
        <v>31</v>
      </c>
      <c r="L439" s="41"/>
      <c r="M439" s="42" t="str">
        <f>HYPERLINK("https://catalog.onliner.by/xmaslights/neonnight/nn501021", "https://catalog.onliner.by/xmaslights/neonnight/nn501021")</f>
        <v>https://catalog.onliner.by/xmaslights/neonnight/nn501021</v>
      </c>
      <c r="N439" s="42" t="str">
        <f>HYPERLINK("https://pronto.by/catalog/product/501-021.html", "https://pronto.by/catalog/product/501-021.html")</f>
        <v>https://pronto.by/catalog/product/501-021.html</v>
      </c>
    </row>
    <row r="440" spans="1:14" customFormat="1" ht="27.6">
      <c r="A440" s="35" t="s">
        <v>3564</v>
      </c>
      <c r="B440" s="19" t="s">
        <v>3565</v>
      </c>
      <c r="C440" s="20" t="s">
        <v>3566</v>
      </c>
      <c r="D440" s="36" t="s">
        <v>28</v>
      </c>
      <c r="E440" s="37" t="s">
        <v>3560</v>
      </c>
      <c r="F440" s="43">
        <v>3.42</v>
      </c>
      <c r="G440" s="100">
        <f t="shared" si="6"/>
        <v>3.42</v>
      </c>
      <c r="H440" s="101"/>
      <c r="I440" s="100">
        <f>G440*H440</f>
        <v>0</v>
      </c>
      <c r="J440" s="39" t="s">
        <v>3336</v>
      </c>
      <c r="K440" s="40" t="s">
        <v>31</v>
      </c>
      <c r="L440" s="41"/>
      <c r="M440" s="42" t="e">
        <f>VLOOKUP(A440,#REF!,4,0)</f>
        <v>#REF!</v>
      </c>
      <c r="N440" s="42" t="str">
        <f>HYPERLINK("https://pronto.by/catalog/product/501-038.html", "https://pronto.by/catalog/product/501-038.html")</f>
        <v>https://pronto.by/catalog/product/501-038.html</v>
      </c>
    </row>
    <row r="441" spans="1:14" customFormat="1" ht="30.6">
      <c r="A441" s="35" t="s">
        <v>1084</v>
      </c>
      <c r="B441" s="19" t="s">
        <v>1085</v>
      </c>
      <c r="C441" s="20" t="s">
        <v>1086</v>
      </c>
      <c r="D441" s="36" t="s">
        <v>28</v>
      </c>
      <c r="E441" s="37" t="s">
        <v>3276</v>
      </c>
      <c r="F441" s="43">
        <v>6.0600000000000005</v>
      </c>
      <c r="G441" s="100">
        <f t="shared" si="6"/>
        <v>6.06</v>
      </c>
      <c r="H441" s="101"/>
      <c r="I441" s="100">
        <f>G441*H441</f>
        <v>0</v>
      </c>
      <c r="J441" s="39" t="s">
        <v>3336</v>
      </c>
      <c r="K441" s="40" t="s">
        <v>31</v>
      </c>
      <c r="L441" s="41"/>
      <c r="M441" s="42" t="str">
        <f>HYPERLINK("https://catalog.onliner.by/xmaslights/neonnight/nn501022", "https://catalog.onliner.by/xmaslights/neonnight/nn501022")</f>
        <v>https://catalog.onliner.by/xmaslights/neonnight/nn501022</v>
      </c>
      <c r="N441" s="42" t="str">
        <f>HYPERLINK("https://pronto.by/catalog/product/501-022.html", "https://pronto.by/catalog/product/501-022.html")</f>
        <v>https://pronto.by/catalog/product/501-022.html</v>
      </c>
    </row>
    <row r="442" spans="1:14" customFormat="1" ht="15.6">
      <c r="A442" s="80" t="s">
        <v>3567</v>
      </c>
      <c r="B442" s="67"/>
      <c r="C442" s="67"/>
      <c r="D442" s="32"/>
      <c r="E442" s="32"/>
      <c r="F442" s="32"/>
      <c r="G442" s="52"/>
      <c r="H442" s="52"/>
      <c r="I442" s="52"/>
      <c r="J442" s="32"/>
      <c r="K442" s="32"/>
      <c r="L442" s="33"/>
      <c r="M442" s="33"/>
      <c r="N442" s="34"/>
    </row>
    <row r="443" spans="1:14" customFormat="1" ht="71.400000000000006">
      <c r="A443" s="35" t="s">
        <v>1087</v>
      </c>
      <c r="B443" s="19" t="s">
        <v>1088</v>
      </c>
      <c r="C443" s="20" t="s">
        <v>1089</v>
      </c>
      <c r="D443" s="36" t="s">
        <v>28</v>
      </c>
      <c r="E443" s="37" t="s">
        <v>3272</v>
      </c>
      <c r="F443" s="43">
        <v>4.38</v>
      </c>
      <c r="G443" s="100">
        <f t="shared" si="6"/>
        <v>4.38</v>
      </c>
      <c r="H443" s="101"/>
      <c r="I443" s="100">
        <f>G443*H443</f>
        <v>0</v>
      </c>
      <c r="J443" s="39" t="s">
        <v>3336</v>
      </c>
      <c r="K443" s="40" t="s">
        <v>31</v>
      </c>
      <c r="L443" s="41"/>
      <c r="M443" s="42" t="str">
        <f>HYPERLINK("https://catalog.onliner.by/christmasdecor/neonnight/501005", "https://catalog.onliner.by/christmasdecor/neonnight/501005")</f>
        <v>https://catalog.onliner.by/christmasdecor/neonnight/501005</v>
      </c>
      <c r="N443" s="42" t="str">
        <f>HYPERLINK("https://pronto.by/catalog/prazdnichnaya-svetotehnika/home-konechnye-potrebiteli/figury-interernye/elochnye-figurki/501-005.html", "https://pronto.by/catalog/prazdnichnaya-svetotehnika/home-konechnye-potrebiteli/figury-interernye/elochnye-figurki/501-005.html")</f>
        <v>https://pronto.by/catalog/prazdnichnaya-svetotehnika/home-konechnye-potrebiteli/figury-interernye/elochnye-figurki/501-005.html</v>
      </c>
    </row>
    <row r="444" spans="1:14" customFormat="1" ht="71.400000000000006">
      <c r="A444" s="35" t="s">
        <v>1090</v>
      </c>
      <c r="B444" s="19" t="s">
        <v>1091</v>
      </c>
      <c r="C444" s="20" t="s">
        <v>1092</v>
      </c>
      <c r="D444" s="36" t="s">
        <v>28</v>
      </c>
      <c r="E444" s="37" t="s">
        <v>3272</v>
      </c>
      <c r="F444" s="43">
        <v>16.740000000000002</v>
      </c>
      <c r="G444" s="100">
        <f t="shared" si="6"/>
        <v>16.739999999999998</v>
      </c>
      <c r="H444" s="101"/>
      <c r="I444" s="100">
        <f>G444*H444</f>
        <v>0</v>
      </c>
      <c r="J444" s="39" t="s">
        <v>3336</v>
      </c>
      <c r="K444" s="40" t="s">
        <v>31</v>
      </c>
      <c r="L444" s="41"/>
      <c r="M444" s="42" t="str">
        <f>HYPERLINK("https://catalog.onliner.by/xmaslights/neonnight/neon501006", "https://catalog.onliner.by/xmaslights/neonnight/neon501006")</f>
        <v>https://catalog.onliner.by/xmaslights/neonnight/neon501006</v>
      </c>
      <c r="N444" s="42" t="str">
        <f>HYPERLINK("https://pronto.by/catalog/prazdnichnaya-svetotehnika/home-konechnye-potrebiteli/figury-interernye/elochnye-figurki/501-006.html", "https://pronto.by/catalog/prazdnichnaya-svetotehnika/home-konechnye-potrebiteli/figury-interernye/elochnye-figurki/501-006.html")</f>
        <v>https://pronto.by/catalog/prazdnichnaya-svetotehnika/home-konechnye-potrebiteli/figury-interernye/elochnye-figurki/501-006.html</v>
      </c>
    </row>
    <row r="445" spans="1:14" customFormat="1" ht="71.400000000000006">
      <c r="A445" s="35" t="s">
        <v>1093</v>
      </c>
      <c r="B445" s="19" t="s">
        <v>1094</v>
      </c>
      <c r="C445" s="20" t="s">
        <v>1095</v>
      </c>
      <c r="D445" s="36" t="s">
        <v>28</v>
      </c>
      <c r="E445" s="37" t="s">
        <v>3272</v>
      </c>
      <c r="F445" s="43">
        <v>9.8400000000000016</v>
      </c>
      <c r="G445" s="100">
        <f t="shared" si="6"/>
        <v>9.84</v>
      </c>
      <c r="H445" s="101"/>
      <c r="I445" s="100">
        <f>G445*H445</f>
        <v>0</v>
      </c>
      <c r="J445" s="39" t="s">
        <v>3336</v>
      </c>
      <c r="K445" s="40" t="s">
        <v>31</v>
      </c>
      <c r="L445" s="41"/>
      <c r="M445" s="42" t="str">
        <f>HYPERLINK("https://catalog.onliner.by/xmaslights/neonnight/neon501007", "https://catalog.onliner.by/xmaslights/neonnight/neon501007")</f>
        <v>https://catalog.onliner.by/xmaslights/neonnight/neon501007</v>
      </c>
      <c r="N445" s="42" t="str">
        <f>HYPERLINK("https://pronto.by/catalog/prazdnichnaya-svetotehnika/home-konechnye-potrebiteli/figury-interernye/elochnye-figurki/501-007.html", "https://pronto.by/catalog/prazdnichnaya-svetotehnika/home-konechnye-potrebiteli/figury-interernye/elochnye-figurki/501-007.html")</f>
        <v>https://pronto.by/catalog/prazdnichnaya-svetotehnika/home-konechnye-potrebiteli/figury-interernye/elochnye-figurki/501-007.html</v>
      </c>
    </row>
    <row r="446" spans="1:14" customFormat="1" ht="30.6">
      <c r="A446" s="35" t="s">
        <v>1096</v>
      </c>
      <c r="B446" s="19" t="s">
        <v>1097</v>
      </c>
      <c r="C446" s="20" t="s">
        <v>1098</v>
      </c>
      <c r="D446" s="36" t="s">
        <v>28</v>
      </c>
      <c r="E446" s="37" t="s">
        <v>3272</v>
      </c>
      <c r="F446" s="43">
        <v>9.8400000000000016</v>
      </c>
      <c r="G446" s="100">
        <f t="shared" si="6"/>
        <v>9.84</v>
      </c>
      <c r="H446" s="101"/>
      <c r="I446" s="100">
        <f>G446*H446</f>
        <v>0</v>
      </c>
      <c r="J446" s="39" t="s">
        <v>3336</v>
      </c>
      <c r="K446" s="40" t="s">
        <v>31</v>
      </c>
      <c r="L446" s="41"/>
      <c r="M446" s="42" t="str">
        <f>HYPERLINK("https://catalog.onliner.by/christmasdecor/neonnight/501002", "https://catalog.onliner.by/christmasdecor/neonnight/501002")</f>
        <v>https://catalog.onliner.by/christmasdecor/neonnight/501002</v>
      </c>
      <c r="N446" s="42" t="str">
        <f>HYPERLINK("https://pronto.by/catalog/product/501-002.html", "https://pronto.by/catalog/product/501-002.html")</f>
        <v>https://pronto.by/catalog/product/501-002.html</v>
      </c>
    </row>
    <row r="447" spans="1:14" customFormat="1" ht="30.6">
      <c r="A447" s="35" t="s">
        <v>1099</v>
      </c>
      <c r="B447" s="19" t="s">
        <v>1100</v>
      </c>
      <c r="C447" s="20" t="s">
        <v>1101</v>
      </c>
      <c r="D447" s="36" t="s">
        <v>28</v>
      </c>
      <c r="E447" s="37" t="s">
        <v>3272</v>
      </c>
      <c r="F447" s="43">
        <v>25.140000000000004</v>
      </c>
      <c r="G447" s="100">
        <f t="shared" si="6"/>
        <v>25.14</v>
      </c>
      <c r="H447" s="101"/>
      <c r="I447" s="100">
        <f>G447*H447</f>
        <v>0</v>
      </c>
      <c r="J447" s="39" t="s">
        <v>3336</v>
      </c>
      <c r="K447" s="40" t="s">
        <v>31</v>
      </c>
      <c r="L447" s="41"/>
      <c r="M447" s="42" t="str">
        <f>HYPERLINK("https://catalog.onliner.by/christmasdecor/neonnight/501001", "https://catalog.onliner.by/christmasdecor/neonnight/501001")</f>
        <v>https://catalog.onliner.by/christmasdecor/neonnight/501001</v>
      </c>
      <c r="N447" s="42" t="str">
        <f>HYPERLINK("https://pronto.by/catalog/product/501-001.html", "https://pronto.by/catalog/product/501-001.html")</f>
        <v>https://pronto.by/catalog/product/501-001.html</v>
      </c>
    </row>
    <row r="448" spans="1:14" customFormat="1" ht="69">
      <c r="A448" s="53" t="s">
        <v>3568</v>
      </c>
      <c r="B448" s="19" t="s">
        <v>3569</v>
      </c>
      <c r="C448" s="20" t="s">
        <v>3570</v>
      </c>
      <c r="D448" s="36" t="s">
        <v>28</v>
      </c>
      <c r="E448" s="37"/>
      <c r="F448" s="43">
        <v>33.24</v>
      </c>
      <c r="G448" s="100">
        <f t="shared" si="6"/>
        <v>33.24</v>
      </c>
      <c r="H448" s="101"/>
      <c r="I448" s="100">
        <f>G448*H448</f>
        <v>0</v>
      </c>
      <c r="J448" s="39" t="s">
        <v>3336</v>
      </c>
      <c r="K448" s="40"/>
      <c r="L448" s="41"/>
      <c r="M448" s="44"/>
      <c r="N448" s="44"/>
    </row>
    <row r="449" spans="1:14" customFormat="1" ht="30.6">
      <c r="A449" s="35" t="s">
        <v>3571</v>
      </c>
      <c r="B449" s="19" t="s">
        <v>3572</v>
      </c>
      <c r="C449" s="20" t="s">
        <v>3573</v>
      </c>
      <c r="D449" s="36" t="s">
        <v>28</v>
      </c>
      <c r="E449" s="37" t="s">
        <v>3560</v>
      </c>
      <c r="F449" s="43">
        <v>3.42</v>
      </c>
      <c r="G449" s="100">
        <f t="shared" si="6"/>
        <v>3.42</v>
      </c>
      <c r="H449" s="101"/>
      <c r="I449" s="100">
        <f>G449*H449</f>
        <v>0</v>
      </c>
      <c r="J449" s="39" t="s">
        <v>3336</v>
      </c>
      <c r="K449" s="40" t="s">
        <v>31</v>
      </c>
      <c r="L449" s="41"/>
      <c r="M449" s="42" t="str">
        <f>HYPERLINK("https://catalog.onliner.by/xmaslights/neonnight/nn501096", "https://catalog.onliner.by/xmaslights/neonnight/nn501096")</f>
        <v>https://catalog.onliner.by/xmaslights/neonnight/nn501096</v>
      </c>
      <c r="N449" s="42" t="str">
        <f>HYPERLINK("https://pronto.by/catalog/product/501-096.html", "https://pronto.by/catalog/product/501-096.html")</f>
        <v>https://pronto.by/catalog/product/501-096.html</v>
      </c>
    </row>
    <row r="450" spans="1:14" customFormat="1" ht="30.6">
      <c r="A450" s="35" t="s">
        <v>3574</v>
      </c>
      <c r="B450" s="19" t="s">
        <v>3575</v>
      </c>
      <c r="C450" s="20" t="s">
        <v>3576</v>
      </c>
      <c r="D450" s="36" t="s">
        <v>28</v>
      </c>
      <c r="E450" s="37" t="s">
        <v>3560</v>
      </c>
      <c r="F450" s="43">
        <v>3.42</v>
      </c>
      <c r="G450" s="100">
        <f t="shared" si="6"/>
        <v>3.42</v>
      </c>
      <c r="H450" s="101"/>
      <c r="I450" s="100">
        <f>G450*H450</f>
        <v>0</v>
      </c>
      <c r="J450" s="39" t="s">
        <v>3336</v>
      </c>
      <c r="K450" s="40" t="s">
        <v>31</v>
      </c>
      <c r="L450" s="41"/>
      <c r="M450" s="42" t="str">
        <f>HYPERLINK("https://catalog.onliner.by/christmasdecor/neonnight/nn501092", "https://catalog.onliner.by/christmasdecor/neonnight/nn501092")</f>
        <v>https://catalog.onliner.by/christmasdecor/neonnight/nn501092</v>
      </c>
      <c r="N450" s="42" t="str">
        <f>HYPERLINK("https://pronto.by/catalog/product/501-092.html", "https://pronto.by/catalog/product/501-092.html")</f>
        <v>https://pronto.by/catalog/product/501-092.html</v>
      </c>
    </row>
    <row r="451" spans="1:14" customFormat="1" ht="27.6">
      <c r="A451" s="35" t="s">
        <v>3577</v>
      </c>
      <c r="B451" s="19" t="s">
        <v>3578</v>
      </c>
      <c r="C451" s="20" t="s">
        <v>3579</v>
      </c>
      <c r="D451" s="36" t="s">
        <v>28</v>
      </c>
      <c r="E451" s="37" t="s">
        <v>3560</v>
      </c>
      <c r="F451" s="43">
        <v>3.42</v>
      </c>
      <c r="G451" s="100">
        <f t="shared" si="6"/>
        <v>3.42</v>
      </c>
      <c r="H451" s="101"/>
      <c r="I451" s="100">
        <f>G451*H451</f>
        <v>0</v>
      </c>
      <c r="J451" s="39" t="s">
        <v>3336</v>
      </c>
      <c r="K451" s="40" t="s">
        <v>31</v>
      </c>
      <c r="L451" s="41"/>
      <c r="M451" s="44" t="e">
        <f>VLOOKUP(A451,#REF!,4,0)</f>
        <v>#REF!</v>
      </c>
      <c r="N451" s="42" t="str">
        <f>HYPERLINK("https://pronto.by/catalog/product/501-099.html", "https://pronto.by/catalog/product/501-099.html")</f>
        <v>https://pronto.by/catalog/product/501-099.html</v>
      </c>
    </row>
    <row r="452" spans="1:14" customFormat="1" ht="27.6">
      <c r="A452" s="35" t="s">
        <v>3580</v>
      </c>
      <c r="B452" s="19" t="s">
        <v>3581</v>
      </c>
      <c r="C452" s="20" t="s">
        <v>3582</v>
      </c>
      <c r="D452" s="36" t="s">
        <v>28</v>
      </c>
      <c r="E452" s="37" t="s">
        <v>3560</v>
      </c>
      <c r="F452" s="43">
        <v>3.42</v>
      </c>
      <c r="G452" s="100">
        <f t="shared" si="6"/>
        <v>3.42</v>
      </c>
      <c r="H452" s="101"/>
      <c r="I452" s="100">
        <f>G452*H452</f>
        <v>0</v>
      </c>
      <c r="J452" s="39" t="s">
        <v>3336</v>
      </c>
      <c r="K452" s="40" t="s">
        <v>31</v>
      </c>
      <c r="L452" s="41"/>
      <c r="M452" s="44" t="e">
        <f>VLOOKUP(A452,#REF!,4,0)</f>
        <v>#REF!</v>
      </c>
      <c r="N452" s="42" t="str">
        <f>HYPERLINK("https://pronto.by/catalog/product/501-100.html", "https://pronto.by/catalog/product/501-100.html")</f>
        <v>https://pronto.by/catalog/product/501-100.html</v>
      </c>
    </row>
    <row r="453" spans="1:14" customFormat="1" ht="27.6">
      <c r="A453" s="35" t="s">
        <v>3583</v>
      </c>
      <c r="B453" s="19" t="s">
        <v>3584</v>
      </c>
      <c r="C453" s="20" t="s">
        <v>3585</v>
      </c>
      <c r="D453" s="36" t="s">
        <v>28</v>
      </c>
      <c r="E453" s="37" t="s">
        <v>3560</v>
      </c>
      <c r="F453" s="43">
        <v>3.42</v>
      </c>
      <c r="G453" s="100">
        <f t="shared" si="6"/>
        <v>3.42</v>
      </c>
      <c r="H453" s="101"/>
      <c r="I453" s="100">
        <f>G453*H453</f>
        <v>0</v>
      </c>
      <c r="J453" s="39" t="s">
        <v>3336</v>
      </c>
      <c r="K453" s="40" t="s">
        <v>31</v>
      </c>
      <c r="L453" s="41"/>
      <c r="M453" s="42" t="e">
        <f>VLOOKUP(A453,#REF!,4,0)</f>
        <v>#REF!</v>
      </c>
      <c r="N453" s="42" t="str">
        <f>HYPERLINK("https://pronto.by/catalog/product/501-093.html", "https://pronto.by/catalog/product/501-093.html")</f>
        <v>https://pronto.by/catalog/product/501-093.html</v>
      </c>
    </row>
    <row r="454" spans="1:14" customFormat="1" ht="15.6">
      <c r="A454" s="80" t="s">
        <v>3586</v>
      </c>
      <c r="B454" s="67"/>
      <c r="C454" s="67"/>
      <c r="D454" s="32"/>
      <c r="E454" s="32"/>
      <c r="F454" s="32"/>
      <c r="G454" s="52"/>
      <c r="H454" s="52"/>
      <c r="I454" s="52"/>
      <c r="J454" s="32"/>
      <c r="K454" s="32"/>
      <c r="L454" s="33"/>
      <c r="M454" s="34"/>
      <c r="N454" s="34"/>
    </row>
    <row r="455" spans="1:14" customFormat="1" ht="15.6">
      <c r="A455" s="80" t="s">
        <v>3587</v>
      </c>
      <c r="B455" s="67"/>
      <c r="C455" s="67"/>
      <c r="D455" s="32"/>
      <c r="E455" s="32"/>
      <c r="F455" s="32"/>
      <c r="G455" s="52"/>
      <c r="H455" s="52"/>
      <c r="I455" s="52"/>
      <c r="J455" s="32"/>
      <c r="K455" s="32"/>
      <c r="L455" s="33"/>
      <c r="M455" s="34"/>
      <c r="N455" s="34"/>
    </row>
    <row r="456" spans="1:14" customFormat="1" ht="30.6">
      <c r="A456" s="35" t="s">
        <v>1102</v>
      </c>
      <c r="B456" s="19" t="s">
        <v>1103</v>
      </c>
      <c r="C456" s="20" t="s">
        <v>1104</v>
      </c>
      <c r="D456" s="36" t="s">
        <v>28</v>
      </c>
      <c r="E456" s="37" t="s">
        <v>3277</v>
      </c>
      <c r="F456" s="43">
        <v>88.14</v>
      </c>
      <c r="G456" s="100">
        <f t="shared" si="6"/>
        <v>88.14</v>
      </c>
      <c r="H456" s="101"/>
      <c r="I456" s="100">
        <f>G456*H456</f>
        <v>0</v>
      </c>
      <c r="J456" s="39" t="s">
        <v>3336</v>
      </c>
      <c r="K456" s="40" t="s">
        <v>31</v>
      </c>
      <c r="L456" s="41"/>
      <c r="M456" s="42" t="str">
        <f>HYPERLINK("https://catalog.onliner.by/christmasdecor/neonnight/307121307121", "https://catalog.onliner.by/christmasdecor/neonnight/307121307121")</f>
        <v>https://catalog.onliner.by/christmasdecor/neonnight/307121307121</v>
      </c>
      <c r="N456" s="42" t="str">
        <f>HYPERLINK("https://pronto.by/catalog/product/307-121.html", "https://pronto.by/catalog/product/307-121.html")</f>
        <v>https://pronto.by/catalog/product/307-121.html</v>
      </c>
    </row>
    <row r="457" spans="1:14" customFormat="1" ht="30.6">
      <c r="A457" s="35" t="s">
        <v>1105</v>
      </c>
      <c r="B457" s="19" t="s">
        <v>1106</v>
      </c>
      <c r="C457" s="20" t="s">
        <v>1107</v>
      </c>
      <c r="D457" s="36" t="s">
        <v>28</v>
      </c>
      <c r="E457" s="37" t="s">
        <v>3277</v>
      </c>
      <c r="F457" s="43">
        <v>59.94</v>
      </c>
      <c r="G457" s="100">
        <f t="shared" si="6"/>
        <v>59.94</v>
      </c>
      <c r="H457" s="101"/>
      <c r="I457" s="100">
        <f>G457*H457</f>
        <v>0</v>
      </c>
      <c r="J457" s="39" t="s">
        <v>3336</v>
      </c>
      <c r="K457" s="40" t="s">
        <v>31</v>
      </c>
      <c r="L457" s="41"/>
      <c r="M457" s="42" t="str">
        <f>HYPERLINK("https://catalog.onliner.by/christmasdecor/neonnight/nn307211", "https://catalog.onliner.by/christmasdecor/neonnight/nn307211")</f>
        <v>https://catalog.onliner.by/christmasdecor/neonnight/nn307211</v>
      </c>
      <c r="N457" s="42" t="str">
        <f>HYPERLINK("https://pronto.by/catalog/product/307-211.html", "https://pronto.by/catalog/product/307-211.html")</f>
        <v>https://pronto.by/catalog/product/307-211.html</v>
      </c>
    </row>
    <row r="458" spans="1:14" customFormat="1" ht="41.4">
      <c r="A458" s="35" t="s">
        <v>1108</v>
      </c>
      <c r="B458" s="19" t="s">
        <v>1109</v>
      </c>
      <c r="C458" s="20" t="s">
        <v>1110</v>
      </c>
      <c r="D458" s="36" t="s">
        <v>28</v>
      </c>
      <c r="E458" s="37" t="s">
        <v>3277</v>
      </c>
      <c r="F458" s="43">
        <v>88.14</v>
      </c>
      <c r="G458" s="100">
        <f t="shared" si="6"/>
        <v>88.14</v>
      </c>
      <c r="H458" s="101"/>
      <c r="I458" s="100">
        <f>G458*H458</f>
        <v>0</v>
      </c>
      <c r="J458" s="39" t="s">
        <v>3336</v>
      </c>
      <c r="K458" s="40" t="s">
        <v>31</v>
      </c>
      <c r="L458" s="41"/>
      <c r="M458" s="42" t="str">
        <f>HYPERLINK("https://catalog.onliner.by/christmasdecor/neonnight/nn307221", "https://catalog.onliner.by/christmasdecor/neonnight/nn307221")</f>
        <v>https://catalog.onliner.by/christmasdecor/neonnight/nn307221</v>
      </c>
      <c r="N458" s="42" t="str">
        <f>HYPERLINK("https://pronto.by/catalog/product/307-221.html", "https://pronto.by/catalog/product/307-221.html")</f>
        <v>https://pronto.by/catalog/product/307-221.html</v>
      </c>
    </row>
    <row r="459" spans="1:14" customFormat="1" ht="55.2">
      <c r="A459" s="35" t="s">
        <v>3588</v>
      </c>
      <c r="B459" s="19" t="s">
        <v>3589</v>
      </c>
      <c r="C459" s="20" t="s">
        <v>3590</v>
      </c>
      <c r="D459" s="36" t="s">
        <v>28</v>
      </c>
      <c r="E459" s="37" t="s">
        <v>3282</v>
      </c>
      <c r="F459" s="43">
        <v>204.18</v>
      </c>
      <c r="G459" s="100">
        <f t="shared" si="6"/>
        <v>204.18</v>
      </c>
      <c r="H459" s="101"/>
      <c r="I459" s="100">
        <f>G459*H459</f>
        <v>0</v>
      </c>
      <c r="J459" s="39" t="s">
        <v>3336</v>
      </c>
      <c r="K459" s="40" t="s">
        <v>31</v>
      </c>
      <c r="L459" s="41"/>
      <c r="M459" s="42" t="str">
        <f>HYPERLINK("https://catalog.onliner.by/xmaslights/neonnight/neon307116", "https://catalog.onliner.by/xmaslights/neonnight/neon307116")</f>
        <v>https://catalog.onliner.by/xmaslights/neonnight/neon307116</v>
      </c>
      <c r="N459" s="42" t="str">
        <f>HYPERLINK("https://pronto.by/catalog/product/307-116.html", "https://pronto.by/catalog/product/307-116.html")</f>
        <v>https://pronto.by/catalog/product/307-116.html</v>
      </c>
    </row>
    <row r="460" spans="1:14" customFormat="1" ht="41.4">
      <c r="A460" s="35" t="s">
        <v>1111</v>
      </c>
      <c r="B460" s="19" t="s">
        <v>1112</v>
      </c>
      <c r="C460" s="20" t="s">
        <v>1113</v>
      </c>
      <c r="D460" s="36" t="s">
        <v>28</v>
      </c>
      <c r="E460" s="37" t="s">
        <v>3277</v>
      </c>
      <c r="F460" s="43">
        <v>199.44000000000003</v>
      </c>
      <c r="G460" s="100">
        <f t="shared" si="6"/>
        <v>199.44</v>
      </c>
      <c r="H460" s="101"/>
      <c r="I460" s="100">
        <f>G460*H460</f>
        <v>0</v>
      </c>
      <c r="J460" s="39" t="s">
        <v>3336</v>
      </c>
      <c r="K460" s="40" t="s">
        <v>31</v>
      </c>
      <c r="L460" s="41"/>
      <c r="M460" s="42" t="str">
        <f>HYPERLINK("https://catalog.onliner.by/xmaslights/neonnight/neon307115", "https://catalog.onliner.by/xmaslights/neonnight/neon307115")</f>
        <v>https://catalog.onliner.by/xmaslights/neonnight/neon307115</v>
      </c>
      <c r="N460" s="42" t="str">
        <f>HYPERLINK("https://pronto.by/catalog/product/307-115.html", "https://pronto.by/catalog/product/307-115.html")</f>
        <v>https://pronto.by/catalog/product/307-115.html</v>
      </c>
    </row>
    <row r="461" spans="1:14" customFormat="1" ht="30.6">
      <c r="A461" s="35" t="s">
        <v>1114</v>
      </c>
      <c r="B461" s="19" t="s">
        <v>1115</v>
      </c>
      <c r="C461" s="20" t="s">
        <v>1116</v>
      </c>
      <c r="D461" s="36" t="s">
        <v>28</v>
      </c>
      <c r="E461" s="37" t="s">
        <v>3292</v>
      </c>
      <c r="F461" s="43">
        <v>176.34</v>
      </c>
      <c r="G461" s="100">
        <f t="shared" si="6"/>
        <v>176.34</v>
      </c>
      <c r="H461" s="101"/>
      <c r="I461" s="100">
        <f>G461*H461</f>
        <v>0</v>
      </c>
      <c r="J461" s="39" t="s">
        <v>3336</v>
      </c>
      <c r="K461" s="40" t="s">
        <v>31</v>
      </c>
      <c r="L461" s="41"/>
      <c r="M461" s="42" t="str">
        <f>HYPERLINK("https://catalog.onliner.by/xmaslights/neonnight/neon307213", "https://catalog.onliner.by/xmaslights/neonnight/neon307213")</f>
        <v>https://catalog.onliner.by/xmaslights/neonnight/neon307213</v>
      </c>
      <c r="N461" s="42" t="str">
        <f>HYPERLINK("https://pronto.by/catalog/product/307-213.html", "https://pronto.by/catalog/product/307-213.html")</f>
        <v>https://pronto.by/catalog/product/307-213.html</v>
      </c>
    </row>
    <row r="462" spans="1:14" customFormat="1" ht="41.4">
      <c r="A462" s="35" t="s">
        <v>3591</v>
      </c>
      <c r="B462" s="19" t="s">
        <v>3592</v>
      </c>
      <c r="C462" s="20" t="s">
        <v>3593</v>
      </c>
      <c r="D462" s="36" t="s">
        <v>28</v>
      </c>
      <c r="E462" s="37" t="s">
        <v>3282</v>
      </c>
      <c r="F462" s="43">
        <v>123.42</v>
      </c>
      <c r="G462" s="100">
        <f t="shared" si="6"/>
        <v>123.42</v>
      </c>
      <c r="H462" s="101"/>
      <c r="I462" s="100">
        <f>G462*H462</f>
        <v>0</v>
      </c>
      <c r="J462" s="39" t="s">
        <v>3336</v>
      </c>
      <c r="K462" s="40" t="s">
        <v>31</v>
      </c>
      <c r="L462" s="41"/>
      <c r="M462" s="42" t="str">
        <f>HYPERLINK("https://catalog.onliner.by/xmaslights/neonnight/neon307212", "https://catalog.onliner.by/xmaslights/neonnight/neon307212")</f>
        <v>https://catalog.onliner.by/xmaslights/neonnight/neon307212</v>
      </c>
      <c r="N462" s="42" t="str">
        <f>HYPERLINK("https://pronto.by/catalog/product/307-212.html", "https://pronto.by/catalog/product/307-212.html")</f>
        <v>https://pronto.by/catalog/product/307-212.html</v>
      </c>
    </row>
    <row r="463" spans="1:14" customFormat="1" ht="27.6">
      <c r="A463" s="35" t="s">
        <v>1117</v>
      </c>
      <c r="B463" s="19" t="s">
        <v>1118</v>
      </c>
      <c r="C463" s="20" t="s">
        <v>1119</v>
      </c>
      <c r="D463" s="36" t="s">
        <v>28</v>
      </c>
      <c r="E463" s="37" t="s">
        <v>3594</v>
      </c>
      <c r="F463" s="43">
        <v>42.48</v>
      </c>
      <c r="G463" s="100">
        <f t="shared" ref="G463:G526" si="7">ROUND(F463-F463*G$3,2)</f>
        <v>42.48</v>
      </c>
      <c r="H463" s="101"/>
      <c r="I463" s="100">
        <f>G463*H463</f>
        <v>0</v>
      </c>
      <c r="J463" s="39" t="s">
        <v>3336</v>
      </c>
      <c r="K463" s="40" t="s">
        <v>31</v>
      </c>
      <c r="L463" s="41"/>
      <c r="M463" s="44"/>
      <c r="N463" s="44"/>
    </row>
    <row r="464" spans="1:14" customFormat="1" ht="55.2">
      <c r="A464" s="35" t="s">
        <v>3595</v>
      </c>
      <c r="B464" s="19" t="s">
        <v>3596</v>
      </c>
      <c r="C464" s="20" t="s">
        <v>3597</v>
      </c>
      <c r="D464" s="36" t="s">
        <v>28</v>
      </c>
      <c r="E464" s="37" t="s">
        <v>3297</v>
      </c>
      <c r="F464" s="43">
        <v>141.06</v>
      </c>
      <c r="G464" s="100">
        <f t="shared" si="7"/>
        <v>141.06</v>
      </c>
      <c r="H464" s="101"/>
      <c r="I464" s="100">
        <f>G464*H464</f>
        <v>0</v>
      </c>
      <c r="J464" s="39" t="s">
        <v>3336</v>
      </c>
      <c r="K464" s="40" t="s">
        <v>31</v>
      </c>
      <c r="L464" s="41"/>
      <c r="M464" s="42" t="str">
        <f>HYPERLINK("https://catalog.onliner.by/christmasdecor/neonnight/nn307113", "https://catalog.onliner.by/christmasdecor/neonnight/nn307113")</f>
        <v>https://catalog.onliner.by/christmasdecor/neonnight/nn307113</v>
      </c>
      <c r="N464" s="42" t="str">
        <f>HYPERLINK("https://pronto.by/catalog/product/307-113.html", "https://pronto.by/catalog/product/307-113.html")</f>
        <v>https://pronto.by/catalog/product/307-113.html</v>
      </c>
    </row>
    <row r="465" spans="1:14" customFormat="1" ht="41.4">
      <c r="A465" s="35" t="s">
        <v>3598</v>
      </c>
      <c r="B465" s="19" t="s">
        <v>3599</v>
      </c>
      <c r="C465" s="20" t="s">
        <v>3600</v>
      </c>
      <c r="D465" s="36" t="s">
        <v>28</v>
      </c>
      <c r="E465" s="37" t="s">
        <v>3297</v>
      </c>
      <c r="F465" s="43">
        <v>88.14</v>
      </c>
      <c r="G465" s="100">
        <f t="shared" si="7"/>
        <v>88.14</v>
      </c>
      <c r="H465" s="101"/>
      <c r="I465" s="100">
        <f>G465*H465</f>
        <v>0</v>
      </c>
      <c r="J465" s="39" t="s">
        <v>3336</v>
      </c>
      <c r="K465" s="40" t="s">
        <v>31</v>
      </c>
      <c r="L465" s="41"/>
      <c r="M465" s="42" t="str">
        <f>HYPERLINK("https://catalog.onliner.by/christmasdecor/neonnight/nn307122", "https://catalog.onliner.by/christmasdecor/neonnight/nn307122")</f>
        <v>https://catalog.onliner.by/christmasdecor/neonnight/nn307122</v>
      </c>
      <c r="N465" s="42" t="str">
        <f>HYPERLINK("https://pronto.by/catalog/product/307-122.html", "https://pronto.by/catalog/product/307-122.html")</f>
        <v>https://pronto.by/catalog/product/307-122.html</v>
      </c>
    </row>
    <row r="466" spans="1:14" customFormat="1" ht="15.6">
      <c r="A466" s="80" t="s">
        <v>3601</v>
      </c>
      <c r="B466" s="67"/>
      <c r="C466" s="67"/>
      <c r="D466" s="32"/>
      <c r="E466" s="32"/>
      <c r="F466" s="32"/>
      <c r="G466" s="52"/>
      <c r="H466" s="52"/>
      <c r="I466" s="52"/>
      <c r="J466" s="32"/>
      <c r="K466" s="32"/>
      <c r="L466" s="33"/>
      <c r="M466" s="34"/>
      <c r="N466" s="34"/>
    </row>
    <row r="467" spans="1:14" customFormat="1" ht="30.6">
      <c r="A467" s="35" t="s">
        <v>1120</v>
      </c>
      <c r="B467" s="19" t="s">
        <v>1121</v>
      </c>
      <c r="C467" s="20" t="s">
        <v>1122</v>
      </c>
      <c r="D467" s="36" t="s">
        <v>28</v>
      </c>
      <c r="E467" s="37" t="s">
        <v>3277</v>
      </c>
      <c r="F467" s="43">
        <v>18.96</v>
      </c>
      <c r="G467" s="100">
        <f t="shared" si="7"/>
        <v>18.96</v>
      </c>
      <c r="H467" s="101"/>
      <c r="I467" s="100">
        <f>G467*H467</f>
        <v>0</v>
      </c>
      <c r="J467" s="39" t="s">
        <v>3336</v>
      </c>
      <c r="K467" s="40" t="s">
        <v>31</v>
      </c>
      <c r="L467" s="41"/>
      <c r="M467" s="42" t="str">
        <f>HYPERLINK("https://catalog.onliner.by/christmasdecor/neonnight/307141307141", "https://catalog.onliner.by/christmasdecor/neonnight/307141307141")</f>
        <v>https://catalog.onliner.by/christmasdecor/neonnight/307141307141</v>
      </c>
      <c r="N467" s="42" t="str">
        <f>HYPERLINK("https://pronto.by/catalog/product/307-141.html", "https://pronto.by/catalog/product/307-141.html")</f>
        <v>https://pronto.by/catalog/product/307-141.html</v>
      </c>
    </row>
    <row r="468" spans="1:14" customFormat="1" ht="27.6">
      <c r="A468" s="35" t="s">
        <v>1123</v>
      </c>
      <c r="B468" s="19" t="s">
        <v>1124</v>
      </c>
      <c r="C468" s="20" t="s">
        <v>1125</v>
      </c>
      <c r="D468" s="36" t="s">
        <v>28</v>
      </c>
      <c r="E468" s="37" t="s">
        <v>3282</v>
      </c>
      <c r="F468" s="43">
        <v>37.980000000000004</v>
      </c>
      <c r="G468" s="100">
        <f t="shared" si="7"/>
        <v>37.979999999999997</v>
      </c>
      <c r="H468" s="101"/>
      <c r="I468" s="100">
        <f>G468*H468</f>
        <v>0</v>
      </c>
      <c r="J468" s="39" t="s">
        <v>3336</v>
      </c>
      <c r="K468" s="40" t="s">
        <v>31</v>
      </c>
      <c r="L468" s="41"/>
      <c r="M468" s="44" t="e">
        <f>VLOOKUP(A468,#REF!,4,0)</f>
        <v>#REF!</v>
      </c>
      <c r="N468" s="42" t="str">
        <f>HYPERLINK("https://pronto.by/catalog/product/307-142.html", "https://pronto.by/catalog/product/307-142.html")</f>
        <v>https://pronto.by/catalog/product/307-142.html</v>
      </c>
    </row>
    <row r="469" spans="1:14" customFormat="1" ht="27.6">
      <c r="A469" s="35" t="s">
        <v>1126</v>
      </c>
      <c r="B469" s="19" t="s">
        <v>1127</v>
      </c>
      <c r="C469" s="20" t="s">
        <v>1128</v>
      </c>
      <c r="D469" s="36" t="s">
        <v>28</v>
      </c>
      <c r="E469" s="37" t="s">
        <v>3283</v>
      </c>
      <c r="F469" s="43">
        <v>61.680000000000007</v>
      </c>
      <c r="G469" s="100">
        <f t="shared" si="7"/>
        <v>61.68</v>
      </c>
      <c r="H469" s="101"/>
      <c r="I469" s="100">
        <f>G469*H469</f>
        <v>0</v>
      </c>
      <c r="J469" s="39" t="s">
        <v>3336</v>
      </c>
      <c r="K469" s="40" t="s">
        <v>31</v>
      </c>
      <c r="L469" s="41"/>
      <c r="M469" s="44" t="e">
        <f>VLOOKUP(A469,#REF!,4,0)</f>
        <v>#REF!</v>
      </c>
      <c r="N469" s="42" t="str">
        <f>HYPERLINK("https://pronto.by/catalog/product/307-143.html", "https://pronto.by/catalog/product/307-143.html")</f>
        <v>https://pronto.by/catalog/product/307-143.html</v>
      </c>
    </row>
    <row r="470" spans="1:14" customFormat="1" ht="30.6">
      <c r="A470" s="35" t="s">
        <v>1129</v>
      </c>
      <c r="B470" s="19" t="s">
        <v>1130</v>
      </c>
      <c r="C470" s="20" t="s">
        <v>1131</v>
      </c>
      <c r="D470" s="36" t="s">
        <v>28</v>
      </c>
      <c r="E470" s="37" t="s">
        <v>3290</v>
      </c>
      <c r="F470" s="43">
        <v>123.42</v>
      </c>
      <c r="G470" s="100">
        <f t="shared" si="7"/>
        <v>123.42</v>
      </c>
      <c r="H470" s="101"/>
      <c r="I470" s="100">
        <f>G470*H470</f>
        <v>0</v>
      </c>
      <c r="J470" s="39" t="s">
        <v>3336</v>
      </c>
      <c r="K470" s="40" t="s">
        <v>31</v>
      </c>
      <c r="L470" s="41"/>
      <c r="M470" s="42" t="str">
        <f>HYPERLINK("https://catalog.onliner.by/christmasdecor/neonnight/nn307145", "https://catalog.onliner.by/christmasdecor/neonnight/nn307145")</f>
        <v>https://catalog.onliner.by/christmasdecor/neonnight/nn307145</v>
      </c>
      <c r="N470" s="42" t="str">
        <f>HYPERLINK("https://pronto.by/catalog/product/307-145.html", "https://pronto.by/catalog/product/307-145.html")</f>
        <v>https://pronto.by/catalog/product/307-145.html</v>
      </c>
    </row>
    <row r="471" spans="1:14" customFormat="1" ht="30.6">
      <c r="A471" s="35" t="s">
        <v>1132</v>
      </c>
      <c r="B471" s="19" t="s">
        <v>1133</v>
      </c>
      <c r="C471" s="20" t="s">
        <v>1134</v>
      </c>
      <c r="D471" s="36" t="s">
        <v>28</v>
      </c>
      <c r="E471" s="37" t="s">
        <v>3291</v>
      </c>
      <c r="F471" s="43">
        <v>123.42</v>
      </c>
      <c r="G471" s="100">
        <f t="shared" si="7"/>
        <v>123.42</v>
      </c>
      <c r="H471" s="101"/>
      <c r="I471" s="100">
        <f>G471*H471</f>
        <v>0</v>
      </c>
      <c r="J471" s="39" t="s">
        <v>3336</v>
      </c>
      <c r="K471" s="40" t="s">
        <v>31</v>
      </c>
      <c r="L471" s="41"/>
      <c r="M471" s="42" t="str">
        <f>HYPERLINK("https://catalog.onliner.by/christmasdecor/neonnight/307144", "https://catalog.onliner.by/christmasdecor/neonnight/307144")</f>
        <v>https://catalog.onliner.by/christmasdecor/neonnight/307144</v>
      </c>
      <c r="N471" s="42" t="str">
        <f>HYPERLINK("https://pronto.by/catalog/product/307-144.html", "https://pronto.by/catalog/product/307-144.html")</f>
        <v>https://pronto.by/catalog/product/307-144.html</v>
      </c>
    </row>
    <row r="472" spans="1:14" customFormat="1" ht="30.6">
      <c r="A472" s="35" t="s">
        <v>1135</v>
      </c>
      <c r="B472" s="19" t="s">
        <v>1136</v>
      </c>
      <c r="C472" s="20" t="s">
        <v>1137</v>
      </c>
      <c r="D472" s="36" t="s">
        <v>28</v>
      </c>
      <c r="E472" s="37" t="s">
        <v>3291</v>
      </c>
      <c r="F472" s="43">
        <v>88.44</v>
      </c>
      <c r="G472" s="100">
        <f t="shared" si="7"/>
        <v>88.44</v>
      </c>
      <c r="H472" s="101"/>
      <c r="I472" s="100">
        <f>G472*H472</f>
        <v>0</v>
      </c>
      <c r="J472" s="39" t="s">
        <v>3336</v>
      </c>
      <c r="K472" s="40" t="s">
        <v>31</v>
      </c>
      <c r="L472" s="41"/>
      <c r="M472" s="42" t="str">
        <f>HYPERLINK("https://catalog.onliner.by/christmasdecor/neonnight/nn307149", "https://catalog.onliner.by/christmasdecor/neonnight/nn307149")</f>
        <v>https://catalog.onliner.by/christmasdecor/neonnight/nn307149</v>
      </c>
      <c r="N472" s="42" t="str">
        <f>HYPERLINK("https://pronto.by/catalog/product/307-149.html", "https://pronto.by/catalog/product/307-149.html")</f>
        <v>https://pronto.by/catalog/product/307-149.html</v>
      </c>
    </row>
    <row r="473" spans="1:14" customFormat="1" ht="55.2">
      <c r="A473" s="35" t="s">
        <v>3602</v>
      </c>
      <c r="B473" s="19" t="s">
        <v>3603</v>
      </c>
      <c r="C473" s="20" t="s">
        <v>3604</v>
      </c>
      <c r="D473" s="36" t="s">
        <v>28</v>
      </c>
      <c r="E473" s="37" t="s">
        <v>3291</v>
      </c>
      <c r="F473" s="43">
        <v>113.94</v>
      </c>
      <c r="G473" s="100">
        <f t="shared" si="7"/>
        <v>113.94</v>
      </c>
      <c r="H473" s="101"/>
      <c r="I473" s="100">
        <f>G473*H473</f>
        <v>0</v>
      </c>
      <c r="J473" s="39" t="s">
        <v>3336</v>
      </c>
      <c r="K473" s="40" t="s">
        <v>31</v>
      </c>
      <c r="L473" s="41"/>
      <c r="M473" s="44" t="e">
        <f>VLOOKUP(A473,#REF!,4,0)</f>
        <v>#REF!</v>
      </c>
      <c r="N473" s="42" t="str">
        <f>HYPERLINK("https://pronto.by/catalog/product/307-150.html", "https://pronto.by/catalog/product/307-150.html")</f>
        <v>https://pronto.by/catalog/product/307-150.html</v>
      </c>
    </row>
    <row r="474" spans="1:14" customFormat="1" ht="27.6">
      <c r="A474" s="35" t="s">
        <v>1138</v>
      </c>
      <c r="B474" s="19" t="s">
        <v>1139</v>
      </c>
      <c r="C474" s="20" t="s">
        <v>1140</v>
      </c>
      <c r="D474" s="36" t="s">
        <v>28</v>
      </c>
      <c r="E474" s="37" t="s">
        <v>3277</v>
      </c>
      <c r="F474" s="43">
        <v>28.44</v>
      </c>
      <c r="G474" s="100">
        <f t="shared" si="7"/>
        <v>28.44</v>
      </c>
      <c r="H474" s="101"/>
      <c r="I474" s="100">
        <f>G474*H474</f>
        <v>0</v>
      </c>
      <c r="J474" s="39" t="s">
        <v>3336</v>
      </c>
      <c r="K474" s="40" t="s">
        <v>31</v>
      </c>
      <c r="L474" s="41"/>
      <c r="M474" s="44" t="e">
        <f>VLOOKUP(A474,#REF!,4,0)</f>
        <v>#REF!</v>
      </c>
      <c r="N474" s="42" t="str">
        <f>HYPERLINK("https://pronto.by/catalog/product/307-146.html", "https://pronto.by/catalog/product/307-146.html")</f>
        <v>https://pronto.by/catalog/product/307-146.html</v>
      </c>
    </row>
    <row r="475" spans="1:14" customFormat="1" ht="30.6">
      <c r="A475" s="35" t="s">
        <v>1141</v>
      </c>
      <c r="B475" s="19" t="s">
        <v>1142</v>
      </c>
      <c r="C475" s="20" t="s">
        <v>1143</v>
      </c>
      <c r="D475" s="36" t="s">
        <v>28</v>
      </c>
      <c r="E475" s="37" t="s">
        <v>3282</v>
      </c>
      <c r="F475" s="43">
        <v>49.8</v>
      </c>
      <c r="G475" s="100">
        <f t="shared" si="7"/>
        <v>49.8</v>
      </c>
      <c r="H475" s="101"/>
      <c r="I475" s="100">
        <f>G475*H475</f>
        <v>0</v>
      </c>
      <c r="J475" s="39" t="s">
        <v>3336</v>
      </c>
      <c r="K475" s="40" t="s">
        <v>31</v>
      </c>
      <c r="L475" s="41"/>
      <c r="M475" s="42" t="str">
        <f>HYPERLINK("https://catalog.onliner.by/christmasdecor/neonnight/nn307147", "https://catalog.onliner.by/christmasdecor/neonnight/nn307147")</f>
        <v>https://catalog.onliner.by/christmasdecor/neonnight/nn307147</v>
      </c>
      <c r="N475" s="42" t="str">
        <f>HYPERLINK("https://pronto.by/catalog/product/307-147.html", "https://pronto.by/catalog/product/307-147.html")</f>
        <v>https://pronto.by/catalog/product/307-147.html</v>
      </c>
    </row>
    <row r="476" spans="1:14" customFormat="1" ht="30.6">
      <c r="A476" s="35" t="s">
        <v>3605</v>
      </c>
      <c r="B476" s="19" t="s">
        <v>3606</v>
      </c>
      <c r="C476" s="20" t="s">
        <v>3607</v>
      </c>
      <c r="D476" s="36" t="s">
        <v>28</v>
      </c>
      <c r="E476" s="37" t="s">
        <v>3283</v>
      </c>
      <c r="F476" s="43">
        <v>71.22</v>
      </c>
      <c r="G476" s="100">
        <f t="shared" si="7"/>
        <v>71.22</v>
      </c>
      <c r="H476" s="101"/>
      <c r="I476" s="100">
        <f>G476*H476</f>
        <v>0</v>
      </c>
      <c r="J476" s="39" t="s">
        <v>3336</v>
      </c>
      <c r="K476" s="40" t="s">
        <v>31</v>
      </c>
      <c r="L476" s="41"/>
      <c r="M476" s="42" t="str">
        <f>HYPERLINK("https://catalog.onliner.by/christmasdecor/neonnight/nn307148", "https://catalog.onliner.by/christmasdecor/neonnight/nn307148")</f>
        <v>https://catalog.onliner.by/christmasdecor/neonnight/nn307148</v>
      </c>
      <c r="N476" s="42" t="str">
        <f>HYPERLINK("https://pronto.by/catalog/product/307-148.html", "https://pronto.by/catalog/product/307-148.html")</f>
        <v>https://pronto.by/catalog/product/307-148.html</v>
      </c>
    </row>
    <row r="477" spans="1:14" customFormat="1" ht="15.6">
      <c r="A477" s="80" t="s">
        <v>3608</v>
      </c>
      <c r="B477" s="67"/>
      <c r="C477" s="67"/>
      <c r="D477" s="32"/>
      <c r="E477" s="32"/>
      <c r="F477" s="32"/>
      <c r="G477" s="52"/>
      <c r="H477" s="52"/>
      <c r="I477" s="52"/>
      <c r="J477" s="32"/>
      <c r="K477" s="32"/>
      <c r="L477" s="33"/>
      <c r="M477" s="33"/>
      <c r="N477" s="34"/>
    </row>
    <row r="478" spans="1:14" customFormat="1" ht="30.6">
      <c r="A478" s="35" t="s">
        <v>1144</v>
      </c>
      <c r="B478" s="19" t="s">
        <v>1145</v>
      </c>
      <c r="C478" s="20" t="s">
        <v>1146</v>
      </c>
      <c r="D478" s="36" t="s">
        <v>28</v>
      </c>
      <c r="E478" s="37" t="s">
        <v>3284</v>
      </c>
      <c r="F478" s="43">
        <v>21.3</v>
      </c>
      <c r="G478" s="100">
        <f t="shared" si="7"/>
        <v>21.3</v>
      </c>
      <c r="H478" s="101"/>
      <c r="I478" s="100">
        <f>G478*H478</f>
        <v>0</v>
      </c>
      <c r="J478" s="39" t="s">
        <v>3336</v>
      </c>
      <c r="K478" s="40" t="s">
        <v>31</v>
      </c>
      <c r="L478" s="41"/>
      <c r="M478" s="42" t="str">
        <f>HYPERLINK("https://catalog.onliner.by/christmasdecor/neonnight/nn533331", "https://catalog.onliner.by/christmasdecor/neonnight/nn533331")</f>
        <v>https://catalog.onliner.by/christmasdecor/neonnight/nn533331</v>
      </c>
      <c r="N478" s="42" t="str">
        <f>HYPERLINK("https://pronto.by/catalog/product/533-331.html", "https://pronto.by/catalog/product/533-331.html")</f>
        <v>https://pronto.by/catalog/product/533-331.html</v>
      </c>
    </row>
    <row r="479" spans="1:14" customFormat="1" ht="30.6">
      <c r="A479" s="35" t="s">
        <v>1147</v>
      </c>
      <c r="B479" s="19" t="s">
        <v>1148</v>
      </c>
      <c r="C479" s="20" t="s">
        <v>1149</v>
      </c>
      <c r="D479" s="36" t="s">
        <v>28</v>
      </c>
      <c r="E479" s="37" t="s">
        <v>3277</v>
      </c>
      <c r="F479" s="43">
        <v>75.960000000000008</v>
      </c>
      <c r="G479" s="100">
        <f t="shared" si="7"/>
        <v>75.959999999999994</v>
      </c>
      <c r="H479" s="101"/>
      <c r="I479" s="100">
        <f>G479*H479</f>
        <v>0</v>
      </c>
      <c r="J479" s="39" t="s">
        <v>3336</v>
      </c>
      <c r="K479" s="40" t="s">
        <v>31</v>
      </c>
      <c r="L479" s="41"/>
      <c r="M479" s="42" t="str">
        <f>HYPERLINK("https://catalog.onliner.by/christmasdecor/neonnight/nn533334", "https://catalog.onliner.by/christmasdecor/neonnight/nn533334")</f>
        <v>https://catalog.onliner.by/christmasdecor/neonnight/nn533334</v>
      </c>
      <c r="N479" s="42" t="str">
        <f>HYPERLINK("https://pronto.by/catalog/product/533-334.html", "https://pronto.by/catalog/product/533-334.html")</f>
        <v>https://pronto.by/catalog/product/533-334.html</v>
      </c>
    </row>
    <row r="480" spans="1:14" customFormat="1" ht="30.6">
      <c r="A480" s="35" t="s">
        <v>1150</v>
      </c>
      <c r="B480" s="19" t="s">
        <v>1151</v>
      </c>
      <c r="C480" s="20" t="s">
        <v>1152</v>
      </c>
      <c r="D480" s="36" t="s">
        <v>28</v>
      </c>
      <c r="E480" s="37" t="s">
        <v>3277</v>
      </c>
      <c r="F480" s="43">
        <v>28.44</v>
      </c>
      <c r="G480" s="100">
        <f t="shared" si="7"/>
        <v>28.44</v>
      </c>
      <c r="H480" s="101"/>
      <c r="I480" s="100">
        <f>G480*H480</f>
        <v>0</v>
      </c>
      <c r="J480" s="39" t="s">
        <v>3336</v>
      </c>
      <c r="K480" s="40" t="s">
        <v>31</v>
      </c>
      <c r="L480" s="41"/>
      <c r="M480" s="42" t="str">
        <f>HYPERLINK("https://catalog.onliner.by/christmasdecor/neonnight/nn533332", "https://catalog.onliner.by/christmasdecor/neonnight/nn533332")</f>
        <v>https://catalog.onliner.by/christmasdecor/neonnight/nn533332</v>
      </c>
      <c r="N480" s="42" t="str">
        <f>HYPERLINK("https://pronto.by/catalog/product/533-332.html", "https://pronto.by/catalog/product/533-332.html")</f>
        <v>https://pronto.by/catalog/product/533-332.html</v>
      </c>
    </row>
    <row r="481" spans="1:14" customFormat="1" ht="30.6">
      <c r="A481" s="35" t="s">
        <v>1153</v>
      </c>
      <c r="B481" s="19" t="s">
        <v>1154</v>
      </c>
      <c r="C481" s="20" t="s">
        <v>1155</v>
      </c>
      <c r="D481" s="36" t="s">
        <v>28</v>
      </c>
      <c r="E481" s="37" t="s">
        <v>3277</v>
      </c>
      <c r="F481" s="43">
        <v>42.72</v>
      </c>
      <c r="G481" s="100">
        <f t="shared" si="7"/>
        <v>42.72</v>
      </c>
      <c r="H481" s="101"/>
      <c r="I481" s="100">
        <f>G481*H481</f>
        <v>0</v>
      </c>
      <c r="J481" s="39" t="s">
        <v>3336</v>
      </c>
      <c r="K481" s="40" t="s">
        <v>31</v>
      </c>
      <c r="L481" s="41"/>
      <c r="M481" s="42" t="str">
        <f>HYPERLINK("https://catalog.onliner.by/christmasdecor/neonnight/nn533333", "https://catalog.onliner.by/christmasdecor/neonnight/nn533333")</f>
        <v>https://catalog.onliner.by/christmasdecor/neonnight/nn533333</v>
      </c>
      <c r="N481" s="42" t="str">
        <f>HYPERLINK("https://pronto.by/catalog/product/533-333.html", "https://pronto.by/catalog/product/533-333.html")</f>
        <v>https://pronto.by/catalog/product/533-333.html</v>
      </c>
    </row>
    <row r="482" spans="1:14" customFormat="1" ht="27.6">
      <c r="A482" s="35" t="s">
        <v>1156</v>
      </c>
      <c r="B482" s="19" t="s">
        <v>1157</v>
      </c>
      <c r="C482" s="20" t="s">
        <v>1158</v>
      </c>
      <c r="D482" s="36" t="s">
        <v>28</v>
      </c>
      <c r="E482" s="37" t="s">
        <v>3272</v>
      </c>
      <c r="F482" s="43">
        <v>25.62</v>
      </c>
      <c r="G482" s="100">
        <f t="shared" si="7"/>
        <v>25.62</v>
      </c>
      <c r="H482" s="101"/>
      <c r="I482" s="100">
        <f>G482*H482</f>
        <v>0</v>
      </c>
      <c r="J482" s="39" t="s">
        <v>3336</v>
      </c>
      <c r="K482" s="40" t="s">
        <v>31</v>
      </c>
      <c r="L482" s="41"/>
      <c r="M482" s="44" t="e">
        <f>VLOOKUP(A482,#REF!,4,0)</f>
        <v>#REF!</v>
      </c>
      <c r="N482" s="42" t="str">
        <f>HYPERLINK("https://pronto.by/catalog/product/533-325.html", "https://pronto.by/catalog/product/533-325.html")</f>
        <v>https://pronto.by/catalog/product/533-325.html</v>
      </c>
    </row>
    <row r="483" spans="1:14" customFormat="1" ht="33.75" customHeight="1">
      <c r="A483" s="80" t="s">
        <v>3609</v>
      </c>
      <c r="B483" s="67"/>
      <c r="C483" s="67"/>
      <c r="D483" s="32"/>
      <c r="E483" s="32"/>
      <c r="F483" s="32"/>
      <c r="G483" s="52"/>
      <c r="H483" s="52"/>
      <c r="I483" s="52"/>
      <c r="J483" s="32"/>
      <c r="K483" s="32"/>
      <c r="L483" s="33"/>
      <c r="M483" s="33"/>
      <c r="N483" s="34"/>
    </row>
    <row r="484" spans="1:14" customFormat="1" ht="62.4">
      <c r="A484" s="35" t="s">
        <v>1159</v>
      </c>
      <c r="B484" s="19" t="s">
        <v>1160</v>
      </c>
      <c r="C484" s="20" t="s">
        <v>1161</v>
      </c>
      <c r="D484" s="36" t="s">
        <v>28</v>
      </c>
      <c r="E484" s="37" t="s">
        <v>3279</v>
      </c>
      <c r="F484" s="43">
        <v>33.54</v>
      </c>
      <c r="G484" s="100">
        <f t="shared" si="7"/>
        <v>33.54</v>
      </c>
      <c r="H484" s="101"/>
      <c r="I484" s="100">
        <f>G484*H484</f>
        <v>0</v>
      </c>
      <c r="J484" s="39" t="s">
        <v>3336</v>
      </c>
      <c r="K484" s="40" t="s">
        <v>31</v>
      </c>
      <c r="L484" s="41" t="s">
        <v>3610</v>
      </c>
      <c r="M484" s="42" t="str">
        <f>HYPERLINK("https://catalog.onliner.by/ledstrip/neonnight/nn1310111", "https://catalog.onliner.by/ledstrip/neonnight/nn1310111")</f>
        <v>https://catalog.onliner.by/ledstrip/neonnight/nn1310111</v>
      </c>
      <c r="N484" s="42" t="str">
        <f>HYPERLINK("https://pronto.by/catalog/product/131-011-1.html", "https://pronto.by/catalog/product/131-011-1.html")</f>
        <v>https://pronto.by/catalog/product/131-011-1.html</v>
      </c>
    </row>
    <row r="485" spans="1:14" customFormat="1" ht="62.4">
      <c r="A485" s="35" t="s">
        <v>1162</v>
      </c>
      <c r="B485" s="19" t="s">
        <v>1163</v>
      </c>
      <c r="C485" s="20" t="s">
        <v>1164</v>
      </c>
      <c r="D485" s="36" t="s">
        <v>28</v>
      </c>
      <c r="E485" s="37" t="s">
        <v>3279</v>
      </c>
      <c r="F485" s="43">
        <v>33.54</v>
      </c>
      <c r="G485" s="100">
        <f t="shared" si="7"/>
        <v>33.54</v>
      </c>
      <c r="H485" s="101"/>
      <c r="I485" s="100">
        <f>G485*H485</f>
        <v>0</v>
      </c>
      <c r="J485" s="39" t="s">
        <v>3336</v>
      </c>
      <c r="K485" s="40" t="s">
        <v>31</v>
      </c>
      <c r="L485" s="41" t="s">
        <v>3610</v>
      </c>
      <c r="M485" s="42" t="str">
        <f>HYPERLINK("https://catalog.onliner.by/ledstrip/neonnight/nn1310141", "https://catalog.onliner.by/ledstrip/neonnight/nn1310141")</f>
        <v>https://catalog.onliner.by/ledstrip/neonnight/nn1310141</v>
      </c>
      <c r="N485" s="42" t="str">
        <f>HYPERLINK("https://pronto.by/catalog/product/131-014-1.html", "https://pronto.by/catalog/product/131-014-1.html")</f>
        <v>https://pronto.by/catalog/product/131-014-1.html</v>
      </c>
    </row>
    <row r="486" spans="1:14" customFormat="1" ht="62.4">
      <c r="A486" s="35" t="s">
        <v>1165</v>
      </c>
      <c r="B486" s="19" t="s">
        <v>1166</v>
      </c>
      <c r="C486" s="20" t="s">
        <v>1167</v>
      </c>
      <c r="D486" s="36" t="s">
        <v>28</v>
      </c>
      <c r="E486" s="37" t="s">
        <v>3279</v>
      </c>
      <c r="F486" s="43">
        <v>33.54</v>
      </c>
      <c r="G486" s="100">
        <f t="shared" si="7"/>
        <v>33.54</v>
      </c>
      <c r="H486" s="101"/>
      <c r="I486" s="100">
        <f>G486*H486</f>
        <v>0</v>
      </c>
      <c r="J486" s="39" t="s">
        <v>3336</v>
      </c>
      <c r="K486" s="40" t="s">
        <v>31</v>
      </c>
      <c r="L486" s="41" t="s">
        <v>3610</v>
      </c>
      <c r="M486" s="42" t="str">
        <f>HYPERLINK("https://catalog.onliner.by/ledstrip/neonnight/nn1310171", "https://catalog.onliner.by/ledstrip/neonnight/nn1310171")</f>
        <v>https://catalog.onliner.by/ledstrip/neonnight/nn1310171</v>
      </c>
      <c r="N486" s="42" t="str">
        <f>HYPERLINK("https://pronto.by/catalog/product/131-017-1.html", "https://pronto.by/catalog/product/131-017-1.html")</f>
        <v>https://pronto.by/catalog/product/131-017-1.html</v>
      </c>
    </row>
    <row r="487" spans="1:14" customFormat="1" ht="62.4">
      <c r="A487" s="35" t="s">
        <v>1168</v>
      </c>
      <c r="B487" s="19" t="s">
        <v>1169</v>
      </c>
      <c r="C487" s="20" t="s">
        <v>1170</v>
      </c>
      <c r="D487" s="36" t="s">
        <v>28</v>
      </c>
      <c r="E487" s="37" t="s">
        <v>3279</v>
      </c>
      <c r="F487" s="43">
        <v>50.04</v>
      </c>
      <c r="G487" s="100">
        <f t="shared" si="7"/>
        <v>50.04</v>
      </c>
      <c r="H487" s="101"/>
      <c r="I487" s="100">
        <f>G487*H487</f>
        <v>0</v>
      </c>
      <c r="J487" s="39" t="s">
        <v>3336</v>
      </c>
      <c r="K487" s="40" t="s">
        <v>31</v>
      </c>
      <c r="L487" s="41" t="s">
        <v>3610</v>
      </c>
      <c r="M487" s="42" t="str">
        <f>HYPERLINK("https://catalog.onliner.by/ledstrip/neonnight/nn1310211", "https://catalog.onliner.by/ledstrip/neonnight/nn1310211")</f>
        <v>https://catalog.onliner.by/ledstrip/neonnight/nn1310211</v>
      </c>
      <c r="N487" s="42" t="str">
        <f>HYPERLINK("https://pronto.by/catalog/product/131-021-1.html", "https://pronto.by/catalog/product/131-021-1.html")</f>
        <v>https://pronto.by/catalog/product/131-021-1.html</v>
      </c>
    </row>
    <row r="488" spans="1:14" customFormat="1" ht="62.4">
      <c r="A488" s="35" t="s">
        <v>3611</v>
      </c>
      <c r="B488" s="19" t="s">
        <v>3612</v>
      </c>
      <c r="C488" s="20" t="s">
        <v>3613</v>
      </c>
      <c r="D488" s="36" t="s">
        <v>28</v>
      </c>
      <c r="E488" s="37" t="s">
        <v>3279</v>
      </c>
      <c r="F488" s="43">
        <v>50.04</v>
      </c>
      <c r="G488" s="100">
        <f t="shared" si="7"/>
        <v>50.04</v>
      </c>
      <c r="H488" s="101"/>
      <c r="I488" s="100">
        <f>G488*H488</f>
        <v>0</v>
      </c>
      <c r="J488" s="39" t="s">
        <v>3336</v>
      </c>
      <c r="K488" s="40" t="s">
        <v>31</v>
      </c>
      <c r="L488" s="41" t="s">
        <v>3610</v>
      </c>
      <c r="M488" s="42" t="str">
        <f>HYPERLINK("https://catalog.onliner.by/ledstrip/neonnight/nn1310241", "https://catalog.onliner.by/ledstrip/neonnight/nn1310241")</f>
        <v>https://catalog.onliner.by/ledstrip/neonnight/nn1310241</v>
      </c>
      <c r="N488" s="42" t="str">
        <f>HYPERLINK("https://pronto.by/catalog/product/131-024-1.html", "https://pronto.by/catalog/product/131-024-1.html")</f>
        <v>https://pronto.by/catalog/product/131-024-1.html</v>
      </c>
    </row>
    <row r="489" spans="1:14" customFormat="1" ht="41.4">
      <c r="A489" s="35" t="s">
        <v>1171</v>
      </c>
      <c r="B489" s="19" t="s">
        <v>1172</v>
      </c>
      <c r="C489" s="20" t="s">
        <v>1173</v>
      </c>
      <c r="D489" s="36" t="s">
        <v>28</v>
      </c>
      <c r="E489" s="37" t="s">
        <v>3284</v>
      </c>
      <c r="F489" s="43">
        <v>54.84</v>
      </c>
      <c r="G489" s="100">
        <f t="shared" si="7"/>
        <v>54.84</v>
      </c>
      <c r="H489" s="101"/>
      <c r="I489" s="100">
        <f>G489*H489</f>
        <v>0</v>
      </c>
      <c r="J489" s="39" t="s">
        <v>3336</v>
      </c>
      <c r="K489" s="40" t="s">
        <v>31</v>
      </c>
      <c r="L489" s="41"/>
      <c r="M489" s="42" t="str">
        <f>HYPERLINK("https://catalog.onliner.by/ledstrip/neonnight/1310341", "https://catalog.onliner.by/ledstrip/neonnight/1310341")</f>
        <v>https://catalog.onliner.by/ledstrip/neonnight/1310341</v>
      </c>
      <c r="N489" s="42" t="str">
        <f>HYPERLINK("https://pronto.by/catalog/product/131-034-1.html", "https://pronto.by/catalog/product/131-034-1.html")</f>
        <v>https://pronto.by/catalog/product/131-034-1.html</v>
      </c>
    </row>
    <row r="490" spans="1:14" customFormat="1" ht="62.4">
      <c r="A490" s="35" t="s">
        <v>1174</v>
      </c>
      <c r="B490" s="19" t="s">
        <v>1175</v>
      </c>
      <c r="C490" s="20" t="s">
        <v>1176</v>
      </c>
      <c r="D490" s="36" t="s">
        <v>28</v>
      </c>
      <c r="E490" s="37" t="s">
        <v>3289</v>
      </c>
      <c r="F490" s="43">
        <v>26.82</v>
      </c>
      <c r="G490" s="100">
        <f t="shared" si="7"/>
        <v>26.82</v>
      </c>
      <c r="H490" s="101"/>
      <c r="I490" s="100">
        <f>G490*H490</f>
        <v>0</v>
      </c>
      <c r="J490" s="39" t="s">
        <v>3336</v>
      </c>
      <c r="K490" s="40" t="s">
        <v>31</v>
      </c>
      <c r="L490" s="41" t="s">
        <v>3610</v>
      </c>
      <c r="M490" s="42" t="str">
        <f>HYPERLINK("https://catalog.onliner.by/ledstrip/neonnight/nn1310041", "https://catalog.onliner.by/ledstrip/neonnight/nn1310041")</f>
        <v>https://catalog.onliner.by/ledstrip/neonnight/nn1310041</v>
      </c>
      <c r="N490" s="42" t="str">
        <f>HYPERLINK("https://pronto.by/catalog/product/131-004-1.html", "https://pronto.by/catalog/product/131-004-1.html")</f>
        <v>https://pronto.by/catalog/product/131-004-1.html</v>
      </c>
    </row>
    <row r="491" spans="1:14" customFormat="1" ht="62.4">
      <c r="A491" s="35" t="s">
        <v>1177</v>
      </c>
      <c r="B491" s="19" t="s">
        <v>1178</v>
      </c>
      <c r="C491" s="20" t="s">
        <v>1179</v>
      </c>
      <c r="D491" s="36" t="s">
        <v>28</v>
      </c>
      <c r="E491" s="37" t="s">
        <v>3289</v>
      </c>
      <c r="F491" s="43">
        <v>26.82</v>
      </c>
      <c r="G491" s="100">
        <f t="shared" si="7"/>
        <v>26.82</v>
      </c>
      <c r="H491" s="101"/>
      <c r="I491" s="100">
        <f>G491*H491</f>
        <v>0</v>
      </c>
      <c r="J491" s="39" t="s">
        <v>3336</v>
      </c>
      <c r="K491" s="40" t="s">
        <v>31</v>
      </c>
      <c r="L491" s="41" t="s">
        <v>3610</v>
      </c>
      <c r="M491" s="42" t="str">
        <f>HYPERLINK("https://catalog.onliner.by/ledstrip/neonnight/nn1310071", "https://catalog.onliner.by/ledstrip/neonnight/nn1310071")</f>
        <v>https://catalog.onliner.by/ledstrip/neonnight/nn1310071</v>
      </c>
      <c r="N491" s="42" t="str">
        <f>HYPERLINK("https://pronto.by/catalog/product/131-007-1.html", "https://pronto.by/catalog/product/131-007-1.html")</f>
        <v>https://pronto.by/catalog/product/131-007-1.html</v>
      </c>
    </row>
    <row r="492" spans="1:14" customFormat="1" ht="62.4">
      <c r="A492" s="35" t="s">
        <v>1180</v>
      </c>
      <c r="B492" s="19" t="s">
        <v>1181</v>
      </c>
      <c r="C492" s="20" t="s">
        <v>1182</v>
      </c>
      <c r="D492" s="36" t="s">
        <v>28</v>
      </c>
      <c r="E492" s="37" t="s">
        <v>3289</v>
      </c>
      <c r="F492" s="43">
        <v>26.82</v>
      </c>
      <c r="G492" s="100">
        <f t="shared" si="7"/>
        <v>26.82</v>
      </c>
      <c r="H492" s="101"/>
      <c r="I492" s="100">
        <f>G492*H492</f>
        <v>0</v>
      </c>
      <c r="J492" s="39" t="s">
        <v>3336</v>
      </c>
      <c r="K492" s="40" t="s">
        <v>31</v>
      </c>
      <c r="L492" s="41" t="s">
        <v>3610</v>
      </c>
      <c r="M492" s="42" t="str">
        <f>HYPERLINK("https://catalog.onliner.by/ledstrip/neonnight/nn1310031", "https://catalog.onliner.by/ledstrip/neonnight/nn1310031")</f>
        <v>https://catalog.onliner.by/ledstrip/neonnight/nn1310031</v>
      </c>
      <c r="N492" s="42" t="str">
        <f>HYPERLINK("https://pronto.by/catalog/product/131-003-1.html", "https://pronto.by/catalog/product/131-003-1.html")</f>
        <v>https://pronto.by/catalog/product/131-003-1.html</v>
      </c>
    </row>
    <row r="493" spans="1:14" customFormat="1" ht="34.5" customHeight="1">
      <c r="A493" s="82" t="s">
        <v>3614</v>
      </c>
      <c r="B493" s="67"/>
      <c r="C493" s="67"/>
      <c r="D493" s="32"/>
      <c r="E493" s="32"/>
      <c r="F493" s="32"/>
      <c r="G493" s="52"/>
      <c r="H493" s="52"/>
      <c r="I493" s="52"/>
      <c r="J493" s="32"/>
      <c r="K493" s="32"/>
      <c r="L493" s="33"/>
      <c r="M493" s="33"/>
      <c r="N493" s="34"/>
    </row>
    <row r="494" spans="1:14" customFormat="1" ht="33.75" customHeight="1">
      <c r="A494" s="80" t="s">
        <v>3615</v>
      </c>
      <c r="B494" s="67"/>
      <c r="C494" s="67"/>
      <c r="D494" s="32"/>
      <c r="E494" s="32"/>
      <c r="F494" s="32"/>
      <c r="G494" s="52"/>
      <c r="H494" s="52"/>
      <c r="I494" s="52"/>
      <c r="J494" s="32"/>
      <c r="K494" s="32"/>
      <c r="L494" s="33"/>
      <c r="M494" s="33"/>
      <c r="N494" s="34"/>
    </row>
    <row r="495" spans="1:14" customFormat="1" ht="71.400000000000006">
      <c r="A495" s="35" t="s">
        <v>1183</v>
      </c>
      <c r="B495" s="19" t="s">
        <v>1184</v>
      </c>
      <c r="C495" s="20" t="s">
        <v>1185</v>
      </c>
      <c r="D495" s="36" t="s">
        <v>28</v>
      </c>
      <c r="E495" s="37" t="s">
        <v>3307</v>
      </c>
      <c r="F495" s="43">
        <v>116.39999999999999</v>
      </c>
      <c r="G495" s="100">
        <f t="shared" si="7"/>
        <v>116.4</v>
      </c>
      <c r="H495" s="101"/>
      <c r="I495" s="100">
        <f>G495*H495</f>
        <v>0</v>
      </c>
      <c r="J495" s="39" t="s">
        <v>3336</v>
      </c>
      <c r="K495" s="40" t="s">
        <v>69</v>
      </c>
      <c r="L495" s="41"/>
      <c r="M495" s="42" t="str">
        <f>HYPERLINK("https://catalog.onliner.by/xmaslights/neonnight/neon255545", "https://catalog.onliner.by/xmaslights/neonnight/neon255545")</f>
        <v>https://catalog.onliner.by/xmaslights/neonnight/neon255545</v>
      </c>
      <c r="N495" s="42" t="str">
        <f>HYPERLINK("https://pronto.by/catalog/prazdnichnaya-svetotehnika/outdoor-konechnye-potrebiteli-i-malyy-biznes/girlyanda-zanaves-ip44/255-545.html", "https://pronto.by/catalog/prazdnichnaya-svetotehnika/outdoor-konechnye-potrebiteli-i-malyy-biznes/girlyanda-zanaves-ip44/255-545.html")</f>
        <v>https://pronto.by/catalog/prazdnichnaya-svetotehnika/outdoor-konechnye-potrebiteli-i-malyy-biznes/girlyanda-zanaves-ip44/255-545.html</v>
      </c>
    </row>
    <row r="496" spans="1:14" customFormat="1" ht="71.400000000000006">
      <c r="A496" s="35" t="s">
        <v>1186</v>
      </c>
      <c r="B496" s="19" t="s">
        <v>1187</v>
      </c>
      <c r="C496" s="20" t="s">
        <v>1188</v>
      </c>
      <c r="D496" s="36" t="s">
        <v>28</v>
      </c>
      <c r="E496" s="37" t="s">
        <v>3307</v>
      </c>
      <c r="F496" s="43">
        <v>116.39999999999999</v>
      </c>
      <c r="G496" s="100">
        <f t="shared" si="7"/>
        <v>116.4</v>
      </c>
      <c r="H496" s="101"/>
      <c r="I496" s="100">
        <f>G496*H496</f>
        <v>0</v>
      </c>
      <c r="J496" s="39" t="s">
        <v>3336</v>
      </c>
      <c r="K496" s="40" t="s">
        <v>69</v>
      </c>
      <c r="L496" s="41"/>
      <c r="M496" s="42" t="str">
        <f>HYPERLINK("https://catalog.onliner.by/xmaslights/neonnight/neon255546", "https://catalog.onliner.by/xmaslights/neonnight/neon255546")</f>
        <v>https://catalog.onliner.by/xmaslights/neonnight/neon255546</v>
      </c>
      <c r="N496" s="42" t="str">
        <f>HYPERLINK("https://pronto.by/catalog/prazdnichnaya-svetotehnika/outdoor-konechnye-potrebiteli-i-malyy-biznes/girlyanda-zanaves-ip44/255-546.html", "https://pronto.by/catalog/prazdnichnaya-svetotehnika/outdoor-konechnye-potrebiteli-i-malyy-biznes/girlyanda-zanaves-ip44/255-546.html")</f>
        <v>https://pronto.by/catalog/prazdnichnaya-svetotehnika/outdoor-konechnye-potrebiteli-i-malyy-biznes/girlyanda-zanaves-ip44/255-546.html</v>
      </c>
    </row>
    <row r="497" spans="1:14" customFormat="1" ht="71.400000000000006">
      <c r="A497" s="35" t="s">
        <v>1189</v>
      </c>
      <c r="B497" s="19" t="s">
        <v>1190</v>
      </c>
      <c r="C497" s="20" t="s">
        <v>1191</v>
      </c>
      <c r="D497" s="36" t="s">
        <v>28</v>
      </c>
      <c r="E497" s="37" t="s">
        <v>3307</v>
      </c>
      <c r="F497" s="43">
        <v>214.2</v>
      </c>
      <c r="G497" s="100">
        <f t="shared" si="7"/>
        <v>214.2</v>
      </c>
      <c r="H497" s="101"/>
      <c r="I497" s="100">
        <f>G497*H497</f>
        <v>0</v>
      </c>
      <c r="J497" s="39" t="s">
        <v>3336</v>
      </c>
      <c r="K497" s="40" t="s">
        <v>69</v>
      </c>
      <c r="L497" s="41"/>
      <c r="M497" s="42" t="str">
        <f>HYPERLINK("https://catalog.onliner.by/xmaslights/neonnight/neon255595", "https://catalog.onliner.by/xmaslights/neonnight/neon255595")</f>
        <v>https://catalog.onliner.by/xmaslights/neonnight/neon255595</v>
      </c>
      <c r="N497" s="42" t="str">
        <f>HYPERLINK("https://pronto.by/catalog/prazdnichnaya-svetotehnika/outdoor-konechnye-potrebiteli-i-malyy-biznes/girlyanda-zanaves-ip44/255-595.html", "https://pronto.by/catalog/prazdnichnaya-svetotehnika/outdoor-konechnye-potrebiteli-i-malyy-biznes/girlyanda-zanaves-ip44/255-595.html")</f>
        <v>https://pronto.by/catalog/prazdnichnaya-svetotehnika/outdoor-konechnye-potrebiteli-i-malyy-biznes/girlyanda-zanaves-ip44/255-595.html</v>
      </c>
    </row>
    <row r="498" spans="1:14" customFormat="1" ht="71.400000000000006">
      <c r="A498" s="35" t="s">
        <v>1192</v>
      </c>
      <c r="B498" s="19" t="s">
        <v>1193</v>
      </c>
      <c r="C498" s="20" t="s">
        <v>1194</v>
      </c>
      <c r="D498" s="36" t="s">
        <v>28</v>
      </c>
      <c r="E498" s="37" t="s">
        <v>3307</v>
      </c>
      <c r="F498" s="43">
        <v>214.2</v>
      </c>
      <c r="G498" s="100">
        <f t="shared" si="7"/>
        <v>214.2</v>
      </c>
      <c r="H498" s="101"/>
      <c r="I498" s="100">
        <f>G498*H498</f>
        <v>0</v>
      </c>
      <c r="J498" s="39" t="s">
        <v>3336</v>
      </c>
      <c r="K498" s="40" t="s">
        <v>69</v>
      </c>
      <c r="L498" s="41"/>
      <c r="M498" s="42" t="str">
        <f>HYPERLINK("https://catalog.onliner.by/xmaslights/neonnight/neon255596", "https://catalog.onliner.by/xmaslights/neonnight/neon255596")</f>
        <v>https://catalog.onliner.by/xmaslights/neonnight/neon255596</v>
      </c>
      <c r="N498" s="42" t="str">
        <f>HYPERLINK("https://pronto.by/catalog/prazdnichnaya-svetotehnika/outdoor-konechnye-potrebiteli-i-malyy-biznes/girlyanda-zanaves-ip44/255-596.html", "https://pronto.by/catalog/prazdnichnaya-svetotehnika/outdoor-konechnye-potrebiteli-i-malyy-biznes/girlyanda-zanaves-ip44/255-596.html")</f>
        <v>https://pronto.by/catalog/prazdnichnaya-svetotehnika/outdoor-konechnye-potrebiteli-i-malyy-biznes/girlyanda-zanaves-ip44/255-596.html</v>
      </c>
    </row>
    <row r="499" spans="1:14" customFormat="1" ht="71.400000000000006">
      <c r="A499" s="35" t="s">
        <v>1195</v>
      </c>
      <c r="B499" s="19" t="s">
        <v>1196</v>
      </c>
      <c r="C499" s="20" t="s">
        <v>1197</v>
      </c>
      <c r="D499" s="36" t="s">
        <v>28</v>
      </c>
      <c r="E499" s="37" t="s">
        <v>3277</v>
      </c>
      <c r="F499" s="43">
        <v>66.180000000000007</v>
      </c>
      <c r="G499" s="100">
        <f t="shared" si="7"/>
        <v>66.180000000000007</v>
      </c>
      <c r="H499" s="101"/>
      <c r="I499" s="100">
        <f>G499*H499</f>
        <v>0</v>
      </c>
      <c r="J499" s="39" t="s">
        <v>3336</v>
      </c>
      <c r="K499" s="40" t="s">
        <v>69</v>
      </c>
      <c r="L499" s="41"/>
      <c r="M499" s="42" t="str">
        <f>HYPERLINK("https://catalog.onliner.by/xmaslights/neonnight/neon255525", "https://catalog.onliner.by/xmaslights/neonnight/neon255525")</f>
        <v>https://catalog.onliner.by/xmaslights/neonnight/neon255525</v>
      </c>
      <c r="N499" s="42" t="str">
        <f>HYPERLINK("https://pronto.by/catalog/prazdnichnaya-svetotehnika/outdoor-konechnye-potrebiteli-i-malyy-biznes/girlyanda-zanaves-ip44/255-525.html", "https://pronto.by/catalog/prazdnichnaya-svetotehnika/outdoor-konechnye-potrebiteli-i-malyy-biznes/girlyanda-zanaves-ip44/255-525.html")</f>
        <v>https://pronto.by/catalog/prazdnichnaya-svetotehnika/outdoor-konechnye-potrebiteli-i-malyy-biznes/girlyanda-zanaves-ip44/255-525.html</v>
      </c>
    </row>
    <row r="500" spans="1:14" customFormat="1" ht="71.400000000000006">
      <c r="A500" s="35" t="s">
        <v>1198</v>
      </c>
      <c r="B500" s="19" t="s">
        <v>1199</v>
      </c>
      <c r="C500" s="20" t="s">
        <v>1200</v>
      </c>
      <c r="D500" s="36" t="s">
        <v>28</v>
      </c>
      <c r="E500" s="37" t="s">
        <v>3277</v>
      </c>
      <c r="F500" s="43">
        <v>66.180000000000007</v>
      </c>
      <c r="G500" s="100">
        <f t="shared" si="7"/>
        <v>66.180000000000007</v>
      </c>
      <c r="H500" s="101"/>
      <c r="I500" s="100">
        <f>G500*H500</f>
        <v>0</v>
      </c>
      <c r="J500" s="39" t="s">
        <v>3336</v>
      </c>
      <c r="K500" s="40" t="s">
        <v>69</v>
      </c>
      <c r="L500" s="41"/>
      <c r="M500" s="42" t="str">
        <f>HYPERLINK("https://catalog.onliner.by/xmaslights/neonnight/neon255526", "https://catalog.onliner.by/xmaslights/neonnight/neon255526")</f>
        <v>https://catalog.onliner.by/xmaslights/neonnight/neon255526</v>
      </c>
      <c r="N500" s="42" t="str">
        <f>HYPERLINK("https://pronto.by/catalog/prazdnichnaya-svetotehnika/outdoor-konechnye-potrebiteli-i-malyy-biznes/girlyanda-zanaves-ip44/255-526.html", "https://pronto.by/catalog/prazdnichnaya-svetotehnika/outdoor-konechnye-potrebiteli-i-malyy-biznes/girlyanda-zanaves-ip44/255-526.html")</f>
        <v>https://pronto.by/catalog/prazdnichnaya-svetotehnika/outdoor-konechnye-potrebiteli-i-malyy-biznes/girlyanda-zanaves-ip44/255-526.html</v>
      </c>
    </row>
    <row r="501" spans="1:14" customFormat="1" ht="71.400000000000006">
      <c r="A501" s="35" t="s">
        <v>1201</v>
      </c>
      <c r="B501" s="19" t="s">
        <v>1202</v>
      </c>
      <c r="C501" s="20" t="s">
        <v>1203</v>
      </c>
      <c r="D501" s="36" t="s">
        <v>28</v>
      </c>
      <c r="E501" s="37" t="s">
        <v>3307</v>
      </c>
      <c r="F501" s="43">
        <v>139.68</v>
      </c>
      <c r="G501" s="100">
        <f t="shared" si="7"/>
        <v>139.68</v>
      </c>
      <c r="H501" s="101"/>
      <c r="I501" s="100">
        <f>G501*H501</f>
        <v>0</v>
      </c>
      <c r="J501" s="39" t="s">
        <v>3336</v>
      </c>
      <c r="K501" s="40" t="s">
        <v>69</v>
      </c>
      <c r="L501" s="41"/>
      <c r="M501" s="42" t="str">
        <f>HYPERLINK("https://catalog.onliner.by/xmaslights/neonnight/neon303609", "https://catalog.onliner.by/xmaslights/neonnight/neon303609")</f>
        <v>https://catalog.onliner.by/xmaslights/neonnight/neon303609</v>
      </c>
      <c r="N501" s="42" t="str">
        <f>HYPERLINK("https://pronto.by/catalog/prazdnichnaya-svetotehnika/outdoor-konechnye-potrebiteli-i-malyy-biznes/girlyanda-zanaves-ip44/303-609.html", "https://pronto.by/catalog/prazdnichnaya-svetotehnika/outdoor-konechnye-potrebiteli-i-malyy-biznes/girlyanda-zanaves-ip44/303-609.html")</f>
        <v>https://pronto.by/catalog/prazdnichnaya-svetotehnika/outdoor-konechnye-potrebiteli-i-malyy-biznes/girlyanda-zanaves-ip44/303-609.html</v>
      </c>
    </row>
    <row r="502" spans="1:14" customFormat="1" ht="71.400000000000006">
      <c r="A502" s="35" t="s">
        <v>1204</v>
      </c>
      <c r="B502" s="19" t="s">
        <v>1205</v>
      </c>
      <c r="C502" s="20" t="s">
        <v>1206</v>
      </c>
      <c r="D502" s="36" t="s">
        <v>28</v>
      </c>
      <c r="E502" s="37" t="s">
        <v>3277</v>
      </c>
      <c r="F502" s="43">
        <v>66.180000000000007</v>
      </c>
      <c r="G502" s="100">
        <f t="shared" si="7"/>
        <v>66.180000000000007</v>
      </c>
      <c r="H502" s="101"/>
      <c r="I502" s="100">
        <f>G502*H502</f>
        <v>0</v>
      </c>
      <c r="J502" s="39" t="s">
        <v>3336</v>
      </c>
      <c r="K502" s="40" t="s">
        <v>69</v>
      </c>
      <c r="L502" s="41"/>
      <c r="M502" s="42" t="str">
        <f>HYPERLINK("https://catalog.onliner.by/xmaslights/neonnight/neon235515", "https://catalog.onliner.by/xmaslights/neonnight/neon235515")</f>
        <v>https://catalog.onliner.by/xmaslights/neonnight/neon235515</v>
      </c>
      <c r="N502" s="42" t="str">
        <f>HYPERLINK("https://pronto.by/catalog/prazdnichnaya-svetotehnika/outdoor-konechnye-potrebiteli-i-malyy-biznes/girlyanda-zanaves-ip44/235-515.html", "https://pronto.by/catalog/prazdnichnaya-svetotehnika/outdoor-konechnye-potrebiteli-i-malyy-biznes/girlyanda-zanaves-ip44/235-515.html")</f>
        <v>https://pronto.by/catalog/prazdnichnaya-svetotehnika/outdoor-konechnye-potrebiteli-i-malyy-biznes/girlyanda-zanaves-ip44/235-515.html</v>
      </c>
    </row>
    <row r="503" spans="1:14" customFormat="1" ht="71.400000000000006">
      <c r="A503" s="35" t="s">
        <v>1207</v>
      </c>
      <c r="B503" s="19" t="s">
        <v>1208</v>
      </c>
      <c r="C503" s="20" t="s">
        <v>1209</v>
      </c>
      <c r="D503" s="36" t="s">
        <v>28</v>
      </c>
      <c r="E503" s="37" t="s">
        <v>3277</v>
      </c>
      <c r="F503" s="43">
        <v>66.180000000000007</v>
      </c>
      <c r="G503" s="100">
        <f t="shared" si="7"/>
        <v>66.180000000000007</v>
      </c>
      <c r="H503" s="101"/>
      <c r="I503" s="100">
        <f>G503*H503</f>
        <v>0</v>
      </c>
      <c r="J503" s="39" t="s">
        <v>3336</v>
      </c>
      <c r="K503" s="40" t="s">
        <v>69</v>
      </c>
      <c r="L503" s="41"/>
      <c r="M503" s="42" t="str">
        <f>HYPERLINK("https://catalog.onliner.by/xmaslights/neonnight/neon235516", "https://catalog.onliner.by/xmaslights/neonnight/neon235516")</f>
        <v>https://catalog.onliner.by/xmaslights/neonnight/neon235516</v>
      </c>
      <c r="N503" s="42" t="str">
        <f>HYPERLINK("https://pronto.by/catalog/prazdnichnaya-svetotehnika/outdoor-konechnye-potrebiteli-i-malyy-biznes/girlyanda-zanaves-ip44/235-516.html", "https://pronto.by/catalog/prazdnichnaya-svetotehnika/outdoor-konechnye-potrebiteli-i-malyy-biznes/girlyanda-zanaves-ip44/235-516.html")</f>
        <v>https://pronto.by/catalog/prazdnichnaya-svetotehnika/outdoor-konechnye-potrebiteli-i-malyy-biznes/girlyanda-zanaves-ip44/235-516.html</v>
      </c>
    </row>
    <row r="504" spans="1:14" customFormat="1" ht="71.400000000000006">
      <c r="A504" s="35" t="s">
        <v>1210</v>
      </c>
      <c r="B504" s="19" t="s">
        <v>1211</v>
      </c>
      <c r="C504" s="20" t="s">
        <v>1212</v>
      </c>
      <c r="D504" s="36" t="s">
        <v>28</v>
      </c>
      <c r="E504" s="37" t="s">
        <v>3307</v>
      </c>
      <c r="F504" s="43">
        <v>116.39999999999999</v>
      </c>
      <c r="G504" s="100">
        <f t="shared" si="7"/>
        <v>116.4</v>
      </c>
      <c r="H504" s="101"/>
      <c r="I504" s="100">
        <f>G504*H504</f>
        <v>0</v>
      </c>
      <c r="J504" s="39" t="s">
        <v>3336</v>
      </c>
      <c r="K504" s="40" t="s">
        <v>69</v>
      </c>
      <c r="L504" s="41"/>
      <c r="M504" s="42" t="str">
        <f>HYPERLINK("https://catalog.onliner.by/xmaslights/neonnight/neon235555", "https://catalog.onliner.by/xmaslights/neonnight/neon235555")</f>
        <v>https://catalog.onliner.by/xmaslights/neonnight/neon235555</v>
      </c>
      <c r="N504" s="42" t="str">
        <f>HYPERLINK("https://pronto.by/catalog/prazdnichnaya-svetotehnika/outdoor-konechnye-potrebiteli-i-malyy-biznes/girlyanda-zanaves-ip44/235-555.html", "https://pronto.by/catalog/prazdnichnaya-svetotehnika/outdoor-konechnye-potrebiteli-i-malyy-biznes/girlyanda-zanaves-ip44/235-555.html")</f>
        <v>https://pronto.by/catalog/prazdnichnaya-svetotehnika/outdoor-konechnye-potrebiteli-i-malyy-biznes/girlyanda-zanaves-ip44/235-555.html</v>
      </c>
    </row>
    <row r="505" spans="1:14" customFormat="1" ht="71.400000000000006">
      <c r="A505" s="35" t="s">
        <v>1213</v>
      </c>
      <c r="B505" s="19" t="s">
        <v>1214</v>
      </c>
      <c r="C505" s="20" t="s">
        <v>1215</v>
      </c>
      <c r="D505" s="36" t="s">
        <v>28</v>
      </c>
      <c r="E505" s="37" t="s">
        <v>3307</v>
      </c>
      <c r="F505" s="43">
        <v>127.62</v>
      </c>
      <c r="G505" s="100">
        <f t="shared" si="7"/>
        <v>127.62</v>
      </c>
      <c r="H505" s="101"/>
      <c r="I505" s="100">
        <f>G505*H505</f>
        <v>0</v>
      </c>
      <c r="J505" s="39" t="s">
        <v>3336</v>
      </c>
      <c r="K505" s="40" t="s">
        <v>69</v>
      </c>
      <c r="L505" s="41"/>
      <c r="M505" s="42" t="str">
        <f>HYPERLINK("https://catalog.onliner.by/xmaslights/neonnight/neon235556", "https://catalog.onliner.by/xmaslights/neonnight/neon235556")</f>
        <v>https://catalog.onliner.by/xmaslights/neonnight/neon235556</v>
      </c>
      <c r="N505" s="42" t="str">
        <f>HYPERLINK("https://pronto.by/catalog/prazdnichnaya-svetotehnika/outdoor-konechnye-potrebiteli-i-malyy-biznes/girlyanda-zanaves-ip44/235-556.html", "https://pronto.by/catalog/prazdnichnaya-svetotehnika/outdoor-konechnye-potrebiteli-i-malyy-biznes/girlyanda-zanaves-ip44/235-556.html")</f>
        <v>https://pronto.by/catalog/prazdnichnaya-svetotehnika/outdoor-konechnye-potrebiteli-i-malyy-biznes/girlyanda-zanaves-ip44/235-556.html</v>
      </c>
    </row>
    <row r="506" spans="1:14" customFormat="1" ht="69">
      <c r="A506" s="35" t="s">
        <v>1216</v>
      </c>
      <c r="B506" s="19" t="s">
        <v>1217</v>
      </c>
      <c r="C506" s="20" t="s">
        <v>3616</v>
      </c>
      <c r="D506" s="36" t="s">
        <v>28</v>
      </c>
      <c r="E506" s="37" t="s">
        <v>3277</v>
      </c>
      <c r="F506" s="43">
        <v>92.7</v>
      </c>
      <c r="G506" s="100">
        <f t="shared" si="7"/>
        <v>92.7</v>
      </c>
      <c r="H506" s="101"/>
      <c r="I506" s="100">
        <f>G506*H506</f>
        <v>0</v>
      </c>
      <c r="J506" s="39" t="s">
        <v>3336</v>
      </c>
      <c r="K506" s="40" t="s">
        <v>41</v>
      </c>
      <c r="L506" s="41"/>
      <c r="M506" s="42" t="str">
        <f>HYPERLINK("https://catalog.onliner.by/xmaslights/neonnight/nn3035096", "https://catalog.onliner.by/xmaslights/neonnight/nn3035096")</f>
        <v>https://catalog.onliner.by/xmaslights/neonnight/nn3035096</v>
      </c>
      <c r="N506" s="42" t="str">
        <f>HYPERLINK("https://pronto.by/catalog/product/303-509-6.html", "https://pronto.by/catalog/product/303-509-6.html")</f>
        <v>https://pronto.by/catalog/product/303-509-6.html</v>
      </c>
    </row>
    <row r="507" spans="1:14" customFormat="1" ht="71.400000000000006">
      <c r="A507" s="35" t="s">
        <v>1218</v>
      </c>
      <c r="B507" s="19" t="s">
        <v>1219</v>
      </c>
      <c r="C507" s="20" t="s">
        <v>1220</v>
      </c>
      <c r="D507" s="36" t="s">
        <v>28</v>
      </c>
      <c r="E507" s="37" t="s">
        <v>3277</v>
      </c>
      <c r="F507" s="43">
        <v>43.02</v>
      </c>
      <c r="G507" s="100">
        <f t="shared" si="7"/>
        <v>43.02</v>
      </c>
      <c r="H507" s="101"/>
      <c r="I507" s="100">
        <f>G507*H507</f>
        <v>0</v>
      </c>
      <c r="J507" s="39" t="s">
        <v>3336</v>
      </c>
      <c r="K507" s="40" t="s">
        <v>69</v>
      </c>
      <c r="L507" s="41"/>
      <c r="M507" s="42" t="str">
        <f>HYPERLINK("https://catalog.onliner.by/xmaslights/neonnight/neon305525", "https://catalog.onliner.by/xmaslights/neonnight/neon305525")</f>
        <v>https://catalog.onliner.by/xmaslights/neonnight/neon305525</v>
      </c>
      <c r="N507" s="42" t="str">
        <f>HYPERLINK("https://pronto.by/catalog/prazdnichnaya-svetotehnika/outdoor-konechnye-potrebiteli-i-malyy-biznes/girlyanda-zanaves-ip44/305-525.html", "https://pronto.by/catalog/prazdnichnaya-svetotehnika/outdoor-konechnye-potrebiteli-i-malyy-biznes/girlyanda-zanaves-ip44/305-525.html")</f>
        <v>https://pronto.by/catalog/prazdnichnaya-svetotehnika/outdoor-konechnye-potrebiteli-i-malyy-biznes/girlyanda-zanaves-ip44/305-525.html</v>
      </c>
    </row>
    <row r="508" spans="1:14" customFormat="1" ht="71.400000000000006">
      <c r="A508" s="35" t="s">
        <v>1221</v>
      </c>
      <c r="B508" s="19" t="s">
        <v>1222</v>
      </c>
      <c r="C508" s="20" t="s">
        <v>1223</v>
      </c>
      <c r="D508" s="36" t="s">
        <v>28</v>
      </c>
      <c r="E508" s="37" t="s">
        <v>3277</v>
      </c>
      <c r="F508" s="43">
        <v>43.02</v>
      </c>
      <c r="G508" s="100">
        <f t="shared" si="7"/>
        <v>43.02</v>
      </c>
      <c r="H508" s="101"/>
      <c r="I508" s="100">
        <f>G508*H508</f>
        <v>0</v>
      </c>
      <c r="J508" s="39" t="s">
        <v>3336</v>
      </c>
      <c r="K508" s="40" t="s">
        <v>69</v>
      </c>
      <c r="L508" s="41"/>
      <c r="M508" s="42" t="str">
        <f>HYPERLINK("https://catalog.onliner.by/xmaslights/neonnight/neon305526", "https://catalog.onliner.by/xmaslights/neonnight/neon305526")</f>
        <v>https://catalog.onliner.by/xmaslights/neonnight/neon305526</v>
      </c>
      <c r="N508" s="42" t="str">
        <f>HYPERLINK("https://pronto.by/catalog/prazdnichnaya-svetotehnika/outdoor-konechnye-potrebiteli-i-malyy-biznes/girlyanda-zanaves-ip44/305-526.html", "https://pronto.by/catalog/prazdnichnaya-svetotehnika/outdoor-konechnye-potrebiteli-i-malyy-biznes/girlyanda-zanaves-ip44/305-526.html")</f>
        <v>https://pronto.by/catalog/prazdnichnaya-svetotehnika/outdoor-konechnye-potrebiteli-i-malyy-biznes/girlyanda-zanaves-ip44/305-526.html</v>
      </c>
    </row>
    <row r="509" spans="1:14" customFormat="1" ht="71.400000000000006">
      <c r="A509" s="35" t="s">
        <v>1224</v>
      </c>
      <c r="B509" s="19" t="s">
        <v>1225</v>
      </c>
      <c r="C509" s="20" t="s">
        <v>1226</v>
      </c>
      <c r="D509" s="36" t="s">
        <v>28</v>
      </c>
      <c r="E509" s="37" t="s">
        <v>3277</v>
      </c>
      <c r="F509" s="43">
        <v>66.180000000000007</v>
      </c>
      <c r="G509" s="100">
        <f t="shared" si="7"/>
        <v>66.180000000000007</v>
      </c>
      <c r="H509" s="101"/>
      <c r="I509" s="100">
        <f>G509*H509</f>
        <v>0</v>
      </c>
      <c r="J509" s="39" t="s">
        <v>3336</v>
      </c>
      <c r="K509" s="40" t="s">
        <v>69</v>
      </c>
      <c r="L509" s="41"/>
      <c r="M509" s="42" t="str">
        <f>HYPERLINK("https://catalog.onliner.by/xmaslights/neonnight/neon305565", "https://catalog.onliner.by/xmaslights/neonnight/neon305565")</f>
        <v>https://catalog.onliner.by/xmaslights/neonnight/neon305565</v>
      </c>
      <c r="N509" s="42" t="str">
        <f>HYPERLINK("https://pronto.by/catalog/prazdnichnaya-svetotehnika/outdoor-konechnye-potrebiteli-i-malyy-biznes/girlyanda-zanaves-ip44/305-565.html", "https://pronto.by/catalog/prazdnichnaya-svetotehnika/outdoor-konechnye-potrebiteli-i-malyy-biznes/girlyanda-zanaves-ip44/305-565.html")</f>
        <v>https://pronto.by/catalog/prazdnichnaya-svetotehnika/outdoor-konechnye-potrebiteli-i-malyy-biznes/girlyanda-zanaves-ip44/305-565.html</v>
      </c>
    </row>
    <row r="510" spans="1:14" customFormat="1" ht="71.400000000000006">
      <c r="A510" s="35" t="s">
        <v>1227</v>
      </c>
      <c r="B510" s="19" t="s">
        <v>1228</v>
      </c>
      <c r="C510" s="20" t="s">
        <v>1229</v>
      </c>
      <c r="D510" s="36" t="s">
        <v>28</v>
      </c>
      <c r="E510" s="37" t="s">
        <v>3277</v>
      </c>
      <c r="F510" s="43">
        <v>66.180000000000007</v>
      </c>
      <c r="G510" s="100">
        <f t="shared" si="7"/>
        <v>66.180000000000007</v>
      </c>
      <c r="H510" s="101"/>
      <c r="I510" s="100">
        <f>G510*H510</f>
        <v>0</v>
      </c>
      <c r="J510" s="39" t="s">
        <v>3336</v>
      </c>
      <c r="K510" s="40" t="s">
        <v>69</v>
      </c>
      <c r="L510" s="41"/>
      <c r="M510" s="42" t="str">
        <f>HYPERLINK("https://catalog.onliner.by/xmaslights/neonnight/neon305566", "https://catalog.onliner.by/xmaslights/neonnight/neon305566")</f>
        <v>https://catalog.onliner.by/xmaslights/neonnight/neon305566</v>
      </c>
      <c r="N510" s="42" t="str">
        <f>HYPERLINK("https://pronto.by/catalog/prazdnichnaya-svetotehnika/outdoor-konechnye-potrebiteli-i-malyy-biznes/girlyanda-zanaves-ip44/305-566.html", "https://pronto.by/catalog/prazdnichnaya-svetotehnika/outdoor-konechnye-potrebiteli-i-malyy-biznes/girlyanda-zanaves-ip44/305-566.html")</f>
        <v>https://pronto.by/catalog/prazdnichnaya-svetotehnika/outdoor-konechnye-potrebiteli-i-malyy-biznes/girlyanda-zanaves-ip44/305-566.html</v>
      </c>
    </row>
    <row r="511" spans="1:14" customFormat="1" ht="15.6">
      <c r="A511" s="80" t="s">
        <v>3617</v>
      </c>
      <c r="B511" s="67"/>
      <c r="C511" s="67"/>
      <c r="D511" s="32"/>
      <c r="E511" s="32"/>
      <c r="F511" s="32"/>
      <c r="G511" s="52"/>
      <c r="H511" s="52"/>
      <c r="I511" s="52"/>
      <c r="J511" s="32"/>
      <c r="K511" s="32"/>
      <c r="L511" s="33"/>
      <c r="M511" s="33"/>
      <c r="N511" s="34"/>
    </row>
    <row r="512" spans="1:14" customFormat="1" ht="71.400000000000006">
      <c r="A512" s="35" t="s">
        <v>1230</v>
      </c>
      <c r="B512" s="19" t="s">
        <v>1231</v>
      </c>
      <c r="C512" s="20" t="s">
        <v>1232</v>
      </c>
      <c r="D512" s="36" t="s">
        <v>28</v>
      </c>
      <c r="E512" s="37" t="s">
        <v>3280</v>
      </c>
      <c r="F512" s="43">
        <v>59.28</v>
      </c>
      <c r="G512" s="100">
        <f t="shared" si="7"/>
        <v>59.28</v>
      </c>
      <c r="H512" s="101"/>
      <c r="I512" s="100">
        <f>G512*H512</f>
        <v>0</v>
      </c>
      <c r="J512" s="39" t="s">
        <v>3336</v>
      </c>
      <c r="K512" s="40" t="s">
        <v>69</v>
      </c>
      <c r="L512" s="41"/>
      <c r="M512" s="42" t="str">
        <f>HYPERLINK("https://catalog.onliner.by/xmaslights/neonnight/neon303259", "https://catalog.onliner.by/xmaslights/neonnight/neon303259")</f>
        <v>https://catalog.onliner.by/xmaslights/neonnight/neon303259</v>
      </c>
      <c r="N512" s="42" t="str">
        <f>HYPERLINK("https://pronto.by/catalog/prazdnichnaya-svetotehnika/outdoor-konechnye-potrebiteli-i-malyy-biznes/girlyanda-bahroma-ip-new-budet-v-g/303-259.html", "https://pronto.by/catalog/prazdnichnaya-svetotehnika/outdoor-konechnye-potrebiteli-i-malyy-biznes/girlyanda-bahroma-ip-new-budet-v-g/303-259.html")</f>
        <v>https://pronto.by/catalog/prazdnichnaya-svetotehnika/outdoor-konechnye-potrebiteli-i-malyy-biznes/girlyanda-bahroma-ip-new-budet-v-g/303-259.html</v>
      </c>
    </row>
    <row r="513" spans="1:14" customFormat="1" ht="71.400000000000006">
      <c r="A513" s="35" t="s">
        <v>1233</v>
      </c>
      <c r="B513" s="19" t="s">
        <v>1234</v>
      </c>
      <c r="C513" s="20" t="s">
        <v>1235</v>
      </c>
      <c r="D513" s="36" t="s">
        <v>28</v>
      </c>
      <c r="E513" s="37" t="s">
        <v>3280</v>
      </c>
      <c r="F513" s="43">
        <v>19.079999999999998</v>
      </c>
      <c r="G513" s="100">
        <f t="shared" si="7"/>
        <v>19.079999999999998</v>
      </c>
      <c r="H513" s="101"/>
      <c r="I513" s="100">
        <f>G513*H513</f>
        <v>0</v>
      </c>
      <c r="J513" s="39" t="s">
        <v>3336</v>
      </c>
      <c r="K513" s="40" t="s">
        <v>69</v>
      </c>
      <c r="L513" s="41"/>
      <c r="M513" s="42" t="str">
        <f>HYPERLINK("https://catalog.onliner.by/xmaslights/neonnight/neon303256", "https://catalog.onliner.by/xmaslights/neonnight/neon303256")</f>
        <v>https://catalog.onliner.by/xmaslights/neonnight/neon303256</v>
      </c>
      <c r="N513" s="42" t="str">
        <f>HYPERLINK("https://pronto.by/catalog/prazdnichnaya-svetotehnika/outdoor-konechnye-potrebiteli-i-malyy-biznes/girlyanda-bahroma-ip-new-budet-v-g/303-256.html", "https://pronto.by/catalog/prazdnichnaya-svetotehnika/outdoor-konechnye-potrebiteli-i-malyy-biznes/girlyanda-bahroma-ip-new-budet-v-g/303-256.html")</f>
        <v>https://pronto.by/catalog/prazdnichnaya-svetotehnika/outdoor-konechnye-potrebiteli-i-malyy-biznes/girlyanda-bahroma-ip-new-budet-v-g/303-256.html</v>
      </c>
    </row>
    <row r="514" spans="1:14" customFormat="1" ht="71.400000000000006">
      <c r="A514" s="35" t="s">
        <v>1236</v>
      </c>
      <c r="B514" s="19" t="s">
        <v>1237</v>
      </c>
      <c r="C514" s="20" t="s">
        <v>1238</v>
      </c>
      <c r="D514" s="36" t="s">
        <v>28</v>
      </c>
      <c r="E514" s="37" t="s">
        <v>3280</v>
      </c>
      <c r="F514" s="43">
        <v>26.76</v>
      </c>
      <c r="G514" s="100">
        <f t="shared" si="7"/>
        <v>26.76</v>
      </c>
      <c r="H514" s="101"/>
      <c r="I514" s="100">
        <f>G514*H514</f>
        <v>0</v>
      </c>
      <c r="J514" s="39" t="s">
        <v>3336</v>
      </c>
      <c r="K514" s="40" t="s">
        <v>69</v>
      </c>
      <c r="L514" s="41"/>
      <c r="M514" s="42" t="s">
        <v>1239</v>
      </c>
      <c r="N514" s="42" t="str">
        <f>HYPERLINK("https://pronto.by/catalog/prazdnichnaya-svetotehnika/outdoor-konechnye-potrebiteli-i-malyy-biznes/girlyanda-bahroma-ip-new-budet-v-g/303-257.html", "https://pronto.by/catalog/prazdnichnaya-svetotehnika/outdoor-konechnye-potrebiteli-i-malyy-biznes/girlyanda-bahroma-ip-new-budet-v-g/303-257.html")</f>
        <v>https://pronto.by/catalog/prazdnichnaya-svetotehnika/outdoor-konechnye-potrebiteli-i-malyy-biznes/girlyanda-bahroma-ip-new-budet-v-g/303-257.html</v>
      </c>
    </row>
    <row r="515" spans="1:14" customFormat="1" ht="71.400000000000006">
      <c r="A515" s="55" t="s">
        <v>3618</v>
      </c>
      <c r="B515" s="21" t="s">
        <v>3619</v>
      </c>
      <c r="C515" s="56" t="s">
        <v>3620</v>
      </c>
      <c r="D515" s="57" t="s">
        <v>28</v>
      </c>
      <c r="E515" s="58" t="s">
        <v>3284</v>
      </c>
      <c r="F515" s="43">
        <v>172.56</v>
      </c>
      <c r="G515" s="100">
        <f t="shared" si="7"/>
        <v>172.56</v>
      </c>
      <c r="H515" s="101"/>
      <c r="I515" s="100">
        <f>G515*H515</f>
        <v>0</v>
      </c>
      <c r="J515" s="39" t="s">
        <v>3336</v>
      </c>
      <c r="K515" s="40" t="s">
        <v>41</v>
      </c>
      <c r="L515" s="41"/>
      <c r="M515" s="42" t="str">
        <f>HYPERLINK("https://catalog.onliner.by/xmaslights/neonnight/303235", "https://catalog.onliner.by/xmaslights/neonnight/303235")</f>
        <v>https://catalog.onliner.by/xmaslights/neonnight/303235</v>
      </c>
      <c r="N515" s="42" t="str">
        <f>HYPERLINK("https://pronto.by/catalog/prazdnichnaya-svetotehnika/outdoor-konechnye-potrebiteli-i-malyy-biznes/girlyanda-bahroma-ip-new-budet-v-g/303-235.html", "https://pronto.by/catalog/prazdnichnaya-svetotehnika/outdoor-konechnye-potrebiteli-i-malyy-biznes/girlyanda-bahroma-ip-new-budet-v-g/303-235.html")</f>
        <v>https://pronto.by/catalog/prazdnichnaya-svetotehnika/outdoor-konechnye-potrebiteli-i-malyy-biznes/girlyanda-bahroma-ip-new-budet-v-g/303-235.html</v>
      </c>
    </row>
    <row r="516" spans="1:14" customFormat="1" ht="55.2">
      <c r="A516" s="35" t="s">
        <v>1240</v>
      </c>
      <c r="B516" s="19" t="s">
        <v>1241</v>
      </c>
      <c r="C516" s="20" t="s">
        <v>1242</v>
      </c>
      <c r="D516" s="36" t="s">
        <v>28</v>
      </c>
      <c r="E516" s="37" t="s">
        <v>3284</v>
      </c>
      <c r="F516" s="43">
        <v>101.7</v>
      </c>
      <c r="G516" s="100">
        <f t="shared" si="7"/>
        <v>101.7</v>
      </c>
      <c r="H516" s="101"/>
      <c r="I516" s="100">
        <f>G516*H516</f>
        <v>0</v>
      </c>
      <c r="J516" s="39" t="s">
        <v>3336</v>
      </c>
      <c r="K516" s="40" t="s">
        <v>69</v>
      </c>
      <c r="L516" s="41"/>
      <c r="M516" s="42" t="str">
        <f>HYPERLINK("https://catalog.onliner.by/xmaslights/neonnight/303236", "https://catalog.onliner.by/xmaslights/neonnight/303236")</f>
        <v>https://catalog.onliner.by/xmaslights/neonnight/303236</v>
      </c>
      <c r="N516" s="44"/>
    </row>
    <row r="517" spans="1:14" customFormat="1" ht="71.400000000000006">
      <c r="A517" s="35" t="s">
        <v>1243</v>
      </c>
      <c r="B517" s="19" t="s">
        <v>1244</v>
      </c>
      <c r="C517" s="20" t="s">
        <v>1245</v>
      </c>
      <c r="D517" s="36" t="s">
        <v>28</v>
      </c>
      <c r="E517" s="37" t="s">
        <v>3279</v>
      </c>
      <c r="F517" s="43">
        <v>45.660000000000004</v>
      </c>
      <c r="G517" s="100">
        <f t="shared" si="7"/>
        <v>45.66</v>
      </c>
      <c r="H517" s="101"/>
      <c r="I517" s="100">
        <f>G517*H517</f>
        <v>0</v>
      </c>
      <c r="J517" s="39" t="s">
        <v>3336</v>
      </c>
      <c r="K517" s="40" t="s">
        <v>41</v>
      </c>
      <c r="L517" s="41"/>
      <c r="M517" s="42" t="str">
        <f>HYPERLINK("https://catalog.onliner.by/xmaslights/neonnight/303209", "https://catalog.onliner.by/xmaslights/neonnight/303209")</f>
        <v>https://catalog.onliner.by/xmaslights/neonnight/303209</v>
      </c>
      <c r="N517" s="42" t="str">
        <f>HYPERLINK("https://pronto.by/catalog/prazdnichnaya-svetotehnika/outdoor-konechnye-potrebiteli-i-malyy-biznes/girlyanda-bahroma-ip-new-budet-v-g/303-209.html", "https://pronto.by/catalog/prazdnichnaya-svetotehnika/outdoor-konechnye-potrebiteli-i-malyy-biznes/girlyanda-bahroma-ip-new-budet-v-g/303-209.html")</f>
        <v>https://pronto.by/catalog/prazdnichnaya-svetotehnika/outdoor-konechnye-potrebiteli-i-malyy-biznes/girlyanda-bahroma-ip-new-budet-v-g/303-209.html</v>
      </c>
    </row>
    <row r="518" spans="1:14" customFormat="1" ht="41.4">
      <c r="A518" s="35" t="s">
        <v>1246</v>
      </c>
      <c r="B518" s="19" t="s">
        <v>1247</v>
      </c>
      <c r="C518" s="20" t="s">
        <v>1248</v>
      </c>
      <c r="D518" s="36" t="s">
        <v>28</v>
      </c>
      <c r="E518" s="37" t="s">
        <v>3260</v>
      </c>
      <c r="F518" s="43">
        <v>54.84</v>
      </c>
      <c r="G518" s="100">
        <f t="shared" si="7"/>
        <v>54.84</v>
      </c>
      <c r="H518" s="101"/>
      <c r="I518" s="100">
        <f>G518*H518</f>
        <v>0</v>
      </c>
      <c r="J518" s="39" t="s">
        <v>3336</v>
      </c>
      <c r="K518" s="40" t="s">
        <v>41</v>
      </c>
      <c r="L518" s="41"/>
      <c r="M518" s="42" t="str">
        <f>HYPERLINK("https://catalog.onliner.by/xmaslights/neonnight/nn303215", "https://catalog.onliner.by/xmaslights/neonnight/nn303215")</f>
        <v>https://catalog.onliner.by/xmaslights/neonnight/nn303215</v>
      </c>
      <c r="N518" s="42" t="str">
        <f>HYPERLINK("https://pronto.by/catalog/product/303-215.html", "https://pronto.by/catalog/product/303-215.html")</f>
        <v>https://pronto.by/catalog/product/303-215.html</v>
      </c>
    </row>
    <row r="519" spans="1:14" customFormat="1" ht="55.2">
      <c r="A519" s="35" t="s">
        <v>1249</v>
      </c>
      <c r="B519" s="19" t="s">
        <v>1250</v>
      </c>
      <c r="C519" s="20" t="s">
        <v>1251</v>
      </c>
      <c r="D519" s="36" t="s">
        <v>28</v>
      </c>
      <c r="E519" s="37" t="s">
        <v>3279</v>
      </c>
      <c r="F519" s="43">
        <v>60.12</v>
      </c>
      <c r="G519" s="100">
        <f t="shared" si="7"/>
        <v>60.12</v>
      </c>
      <c r="H519" s="101"/>
      <c r="I519" s="100">
        <f>G519*H519</f>
        <v>0</v>
      </c>
      <c r="J519" s="39" t="s">
        <v>3336</v>
      </c>
      <c r="K519" s="40" t="s">
        <v>69</v>
      </c>
      <c r="L519" s="41"/>
      <c r="M519" s="42" t="str">
        <f>HYPERLINK("https://catalog.onliner.by/xmaslights/neonnight/nn303216", "https://catalog.onliner.by/xmaslights/neonnight/nn303216")</f>
        <v>https://catalog.onliner.by/xmaslights/neonnight/nn303216</v>
      </c>
      <c r="N519" s="42" t="str">
        <f>HYPERLINK("https://pronto.by/catalog/product/303-216.html", "https://pronto.by/catalog/product/303-216.html")</f>
        <v>https://pronto.by/catalog/product/303-216.html</v>
      </c>
    </row>
    <row r="520" spans="1:14" customFormat="1" ht="71.400000000000006">
      <c r="A520" s="35" t="s">
        <v>1252</v>
      </c>
      <c r="B520" s="19" t="s">
        <v>3621</v>
      </c>
      <c r="C520" s="20" t="s">
        <v>1254</v>
      </c>
      <c r="D520" s="36" t="s">
        <v>28</v>
      </c>
      <c r="E520" s="37" t="s">
        <v>3279</v>
      </c>
      <c r="F520" s="43">
        <v>100.44</v>
      </c>
      <c r="G520" s="100">
        <f t="shared" si="7"/>
        <v>100.44</v>
      </c>
      <c r="H520" s="101"/>
      <c r="I520" s="100">
        <f>G520*H520</f>
        <v>0</v>
      </c>
      <c r="J520" s="39" t="s">
        <v>3336</v>
      </c>
      <c r="K520" s="40" t="s">
        <v>41</v>
      </c>
      <c r="L520" s="41"/>
      <c r="M520" s="42" t="str">
        <f>HYPERLINK("https://catalog.onliner.by/xmaslights/neonnight/303225", "https://catalog.onliner.by/xmaslights/neonnight/303225")</f>
        <v>https://catalog.onliner.by/xmaslights/neonnight/303225</v>
      </c>
      <c r="N520" s="42" t="str">
        <f>HYPERLINK("https://pronto.by/catalog/prazdnichnaya-svetotehnika/outdoor-konechnye-potrebiteli-i-malyy-biznes/girlyanda-bahroma-ip-new-budet-v-g/303-225.html", "https://pronto.by/catalog/prazdnichnaya-svetotehnika/outdoor-konechnye-potrebiteli-i-malyy-biznes/girlyanda-bahroma-ip-new-budet-v-g/303-225.html")</f>
        <v>https://pronto.by/catalog/prazdnichnaya-svetotehnika/outdoor-konechnye-potrebiteli-i-malyy-biznes/girlyanda-bahroma-ip-new-budet-v-g/303-225.html</v>
      </c>
    </row>
    <row r="521" spans="1:14" customFormat="1" ht="71.400000000000006">
      <c r="A521" s="35" t="s">
        <v>1255</v>
      </c>
      <c r="B521" s="19" t="s">
        <v>1253</v>
      </c>
      <c r="C521" s="20" t="s">
        <v>1256</v>
      </c>
      <c r="D521" s="36" t="s">
        <v>28</v>
      </c>
      <c r="E521" s="37" t="s">
        <v>3279</v>
      </c>
      <c r="F521" s="43">
        <v>91.559999999999988</v>
      </c>
      <c r="G521" s="100">
        <f t="shared" si="7"/>
        <v>91.56</v>
      </c>
      <c r="H521" s="101"/>
      <c r="I521" s="100">
        <f>G521*H521</f>
        <v>0</v>
      </c>
      <c r="J521" s="39" t="s">
        <v>3336</v>
      </c>
      <c r="K521" s="40" t="s">
        <v>41</v>
      </c>
      <c r="L521" s="41"/>
      <c r="M521" s="42" t="str">
        <f>HYPERLINK("https://catalog.onliner.by/xmaslights/neonnight/303229", "https://catalog.onliner.by/xmaslights/neonnight/303229")</f>
        <v>https://catalog.onliner.by/xmaslights/neonnight/303229</v>
      </c>
      <c r="N521" s="42" t="str">
        <f>HYPERLINK("https://pronto.by/catalog/prazdnichnaya-svetotehnika/outdoor-konechnye-potrebiteli-i-malyy-biznes/girlyanda-bahroma-ip-new-budet-v-g/303-229.html", "https://pronto.by/catalog/prazdnichnaya-svetotehnika/outdoor-konechnye-potrebiteli-i-malyy-biznes/girlyanda-bahroma-ip-new-budet-v-g/303-229.html")</f>
        <v>https://pronto.by/catalog/prazdnichnaya-svetotehnika/outdoor-konechnye-potrebiteli-i-malyy-biznes/girlyanda-bahroma-ip-new-budet-v-g/303-229.html</v>
      </c>
    </row>
    <row r="522" spans="1:14" customFormat="1" ht="41.4">
      <c r="A522" s="35" t="s">
        <v>1257</v>
      </c>
      <c r="B522" s="19" t="s">
        <v>1258</v>
      </c>
      <c r="C522" s="20" t="s">
        <v>1259</v>
      </c>
      <c r="D522" s="36" t="s">
        <v>28</v>
      </c>
      <c r="E522" s="37" t="s">
        <v>3279</v>
      </c>
      <c r="F522" s="43">
        <v>45.660000000000004</v>
      </c>
      <c r="G522" s="100">
        <f t="shared" si="7"/>
        <v>45.66</v>
      </c>
      <c r="H522" s="101"/>
      <c r="I522" s="100">
        <f>G522*H522</f>
        <v>0</v>
      </c>
      <c r="J522" s="39" t="s">
        <v>3336</v>
      </c>
      <c r="K522" s="40" t="s">
        <v>41</v>
      </c>
      <c r="L522" s="41"/>
      <c r="M522" s="42" t="str">
        <f>HYPERLINK("https://catalog.onliner.by/xmaslights/neonnight/nn303205", "https://catalog.onliner.by/xmaslights/neonnight/nn303205")</f>
        <v>https://catalog.onliner.by/xmaslights/neonnight/nn303205</v>
      </c>
      <c r="N522" s="42" t="str">
        <f>HYPERLINK("https://pronto.by/catalog/product/303-205.html", "https://pronto.by/catalog/product/303-205.html")</f>
        <v>https://pronto.by/catalog/product/303-205.html</v>
      </c>
    </row>
    <row r="523" spans="1:14" customFormat="1" ht="55.2">
      <c r="A523" s="35" t="s">
        <v>1260</v>
      </c>
      <c r="B523" s="19" t="s">
        <v>1261</v>
      </c>
      <c r="C523" s="20" t="s">
        <v>1262</v>
      </c>
      <c r="D523" s="36" t="s">
        <v>28</v>
      </c>
      <c r="E523" s="37"/>
      <c r="F523" s="43">
        <v>45.660000000000004</v>
      </c>
      <c r="G523" s="100">
        <f t="shared" si="7"/>
        <v>45.66</v>
      </c>
      <c r="H523" s="101"/>
      <c r="I523" s="100">
        <f>G523*H523</f>
        <v>0</v>
      </c>
      <c r="J523" s="39" t="s">
        <v>3336</v>
      </c>
      <c r="K523" s="40" t="s">
        <v>41</v>
      </c>
      <c r="L523" s="41"/>
      <c r="M523" s="42" t="str">
        <f>HYPERLINK("https://catalog.onliner.by/xmaslights/neonnight/nn303206", "https://catalog.onliner.by/xmaslights/neonnight/nn303206")</f>
        <v>https://catalog.onliner.by/xmaslights/neonnight/nn303206</v>
      </c>
      <c r="N523" s="42" t="str">
        <f>HYPERLINK("https://pronto.by/catalog/product/303-206.html", "https://pronto.by/catalog/product/303-206.html")</f>
        <v>https://pronto.by/catalog/product/303-206.html</v>
      </c>
    </row>
    <row r="524" spans="1:14" customFormat="1" ht="71.400000000000006">
      <c r="A524" s="35" t="s">
        <v>1263</v>
      </c>
      <c r="B524" s="19" t="s">
        <v>1264</v>
      </c>
      <c r="C524" s="20" t="s">
        <v>1265</v>
      </c>
      <c r="D524" s="36" t="s">
        <v>28</v>
      </c>
      <c r="E524" s="37" t="s">
        <v>3279</v>
      </c>
      <c r="F524" s="43">
        <v>150.84</v>
      </c>
      <c r="G524" s="100">
        <f t="shared" si="7"/>
        <v>150.84</v>
      </c>
      <c r="H524" s="101"/>
      <c r="I524" s="100">
        <f>G524*H524</f>
        <v>0</v>
      </c>
      <c r="J524" s="39" t="s">
        <v>3336</v>
      </c>
      <c r="K524" s="40" t="s">
        <v>41</v>
      </c>
      <c r="L524" s="41"/>
      <c r="M524" s="42" t="str">
        <f>HYPERLINK("https://catalog.onliner.by/xmaslights/neonnight/303245", "https://catalog.onliner.by/xmaslights/neonnight/303245")</f>
        <v>https://catalog.onliner.by/xmaslights/neonnight/303245</v>
      </c>
      <c r="N524" s="42" t="str">
        <f>HYPERLINK("https://pronto.by/catalog/prazdnichnaya-svetotehnika/outdoor-konechnye-potrebiteli-i-malyy-biznes/girlyanda-bahroma-ip-new-budet-v-g/303-245.html", "https://pronto.by/catalog/prazdnichnaya-svetotehnika/outdoor-konechnye-potrebiteli-i-malyy-biznes/girlyanda-bahroma-ip-new-budet-v-g/303-245.html")</f>
        <v>https://pronto.by/catalog/prazdnichnaya-svetotehnika/outdoor-konechnye-potrebiteli-i-malyy-biznes/girlyanda-bahroma-ip-new-budet-v-g/303-245.html</v>
      </c>
    </row>
    <row r="525" spans="1:14" customFormat="1" ht="71.400000000000006">
      <c r="A525" s="35" t="s">
        <v>1266</v>
      </c>
      <c r="B525" s="19" t="s">
        <v>1267</v>
      </c>
      <c r="C525" s="20" t="s">
        <v>1268</v>
      </c>
      <c r="D525" s="36" t="s">
        <v>28</v>
      </c>
      <c r="E525" s="37" t="s">
        <v>3279</v>
      </c>
      <c r="F525" s="43">
        <v>152.82</v>
      </c>
      <c r="G525" s="100">
        <f t="shared" si="7"/>
        <v>152.82</v>
      </c>
      <c r="H525" s="101"/>
      <c r="I525" s="100">
        <f>G525*H525</f>
        <v>0</v>
      </c>
      <c r="J525" s="39" t="s">
        <v>3336</v>
      </c>
      <c r="K525" s="40" t="s">
        <v>41</v>
      </c>
      <c r="L525" s="41"/>
      <c r="M525" s="42" t="str">
        <f>HYPERLINK("https://catalog.onliner.by/xmaslights/neonnight/303246", "https://catalog.onliner.by/xmaslights/neonnight/303246")</f>
        <v>https://catalog.onliner.by/xmaslights/neonnight/303246</v>
      </c>
      <c r="N525" s="42" t="str">
        <f>HYPERLINK("https://pronto.by/catalog/prazdnichnaya-svetotehnika/outdoor-konechnye-potrebiteli-i-malyy-biznes/girlyanda-bahroma-ip-new-budet-v-g/303-246.html", "https://pronto.by/catalog/prazdnichnaya-svetotehnika/outdoor-konechnye-potrebiteli-i-malyy-biznes/girlyanda-bahroma-ip-new-budet-v-g/303-246.html")</f>
        <v>https://pronto.by/catalog/prazdnichnaya-svetotehnika/outdoor-konechnye-potrebiteli-i-malyy-biznes/girlyanda-bahroma-ip-new-budet-v-g/303-246.html</v>
      </c>
    </row>
    <row r="526" spans="1:14" customFormat="1" ht="71.400000000000006">
      <c r="A526" s="35" t="s">
        <v>1269</v>
      </c>
      <c r="B526" s="19" t="s">
        <v>1270</v>
      </c>
      <c r="C526" s="20" t="s">
        <v>1271</v>
      </c>
      <c r="D526" s="36" t="s">
        <v>28</v>
      </c>
      <c r="E526" s="37" t="s">
        <v>3279</v>
      </c>
      <c r="F526" s="43">
        <v>152.82</v>
      </c>
      <c r="G526" s="100">
        <f t="shared" si="7"/>
        <v>152.82</v>
      </c>
      <c r="H526" s="101"/>
      <c r="I526" s="100">
        <f>G526*H526</f>
        <v>0</v>
      </c>
      <c r="J526" s="39" t="s">
        <v>3336</v>
      </c>
      <c r="K526" s="40" t="s">
        <v>41</v>
      </c>
      <c r="L526" s="41"/>
      <c r="M526" s="42" t="str">
        <f>HYPERLINK("https://catalog.onliner.by/xmaslights/neonnight/303249nn", "https://catalog.onliner.by/xmaslights/neonnight/303249nn")</f>
        <v>https://catalog.onliner.by/xmaslights/neonnight/303249nn</v>
      </c>
      <c r="N526" s="42" t="str">
        <f>HYPERLINK("https://pronto.by/catalog/prazdnichnaya-svetotehnika/outdoor-konechnye-potrebiteli-i-malyy-biznes/girlyanda-bahroma-ip-new-budet-v-g/303-249.html", "https://pronto.by/catalog/prazdnichnaya-svetotehnika/outdoor-konechnye-potrebiteli-i-malyy-biznes/girlyanda-bahroma-ip-new-budet-v-g/303-249.html")</f>
        <v>https://pronto.by/catalog/prazdnichnaya-svetotehnika/outdoor-konechnye-potrebiteli-i-malyy-biznes/girlyanda-bahroma-ip-new-budet-v-g/303-249.html</v>
      </c>
    </row>
    <row r="527" spans="1:14" customFormat="1" ht="15.6">
      <c r="A527" s="80" t="s">
        <v>3622</v>
      </c>
      <c r="B527" s="67"/>
      <c r="C527" s="67"/>
      <c r="D527" s="32"/>
      <c r="E527" s="32"/>
      <c r="F527" s="32"/>
      <c r="G527" s="52"/>
      <c r="H527" s="52"/>
      <c r="I527" s="52"/>
      <c r="J527" s="32"/>
      <c r="K527" s="32"/>
      <c r="L527" s="33"/>
      <c r="M527" s="33"/>
      <c r="N527" s="34"/>
    </row>
    <row r="528" spans="1:14" customFormat="1" ht="41.4">
      <c r="A528" s="35" t="s">
        <v>1272</v>
      </c>
      <c r="B528" s="19" t="s">
        <v>1273</v>
      </c>
      <c r="C528" s="20" t="s">
        <v>1274</v>
      </c>
      <c r="D528" s="36" t="s">
        <v>28</v>
      </c>
      <c r="E528" s="37" t="s">
        <v>3290</v>
      </c>
      <c r="F528" s="43">
        <v>306</v>
      </c>
      <c r="G528" s="100">
        <f t="shared" ref="G528:G590" si="8">ROUND(F528-F528*G$3,2)</f>
        <v>306</v>
      </c>
      <c r="H528" s="101"/>
      <c r="I528" s="100">
        <f>G528*H528</f>
        <v>0</v>
      </c>
      <c r="J528" s="39" t="s">
        <v>3336</v>
      </c>
      <c r="K528" s="40" t="s">
        <v>41</v>
      </c>
      <c r="L528" s="41"/>
      <c r="M528" s="42" t="str">
        <f>HYPERLINK("https://catalog.onliner.by/xmaslights/neonnight/nn331301", "https://catalog.onliner.by/xmaslights/neonnight/nn331301")</f>
        <v>https://catalog.onliner.by/xmaslights/neonnight/nn331301</v>
      </c>
      <c r="N528" s="42" t="str">
        <f>HYPERLINK("https://pronto.by/catalog/product/331-301.html", "https://pronto.by/catalog/product/331-301.html")</f>
        <v>https://pronto.by/catalog/product/331-301.html</v>
      </c>
    </row>
    <row r="529" spans="1:14" customFormat="1" ht="41.4">
      <c r="A529" s="35" t="s">
        <v>1275</v>
      </c>
      <c r="B529" s="19" t="s">
        <v>1276</v>
      </c>
      <c r="C529" s="20" t="s">
        <v>1277</v>
      </c>
      <c r="D529" s="36" t="s">
        <v>28</v>
      </c>
      <c r="E529" s="37" t="s">
        <v>3295</v>
      </c>
      <c r="F529" s="43">
        <v>200.76000000000002</v>
      </c>
      <c r="G529" s="100">
        <f t="shared" si="8"/>
        <v>200.76</v>
      </c>
      <c r="H529" s="101"/>
      <c r="I529" s="100">
        <f>G529*H529</f>
        <v>0</v>
      </c>
      <c r="J529" s="39" t="s">
        <v>3336</v>
      </c>
      <c r="K529" s="40" t="s">
        <v>41</v>
      </c>
      <c r="L529" s="41"/>
      <c r="M529" s="42" t="str">
        <f>HYPERLINK("https://catalog.onliner.by/xmaslights/neonnight/nn331302", "https://catalog.onliner.by/xmaslights/neonnight/nn331302")</f>
        <v>https://catalog.onliner.by/xmaslights/neonnight/nn331302</v>
      </c>
      <c r="N529" s="42" t="str">
        <f>HYPERLINK("https://pronto.by/catalog/product/331-302.html", "https://pronto.by/catalog/product/331-302.html")</f>
        <v>https://pronto.by/catalog/product/331-302.html</v>
      </c>
    </row>
    <row r="530" spans="1:14" customFormat="1" ht="41.4">
      <c r="A530" s="35" t="s">
        <v>1278</v>
      </c>
      <c r="B530" s="19" t="s">
        <v>1279</v>
      </c>
      <c r="C530" s="20" t="s">
        <v>1280</v>
      </c>
      <c r="D530" s="36" t="s">
        <v>28</v>
      </c>
      <c r="E530" s="37" t="s">
        <v>3290</v>
      </c>
      <c r="F530" s="43">
        <v>306</v>
      </c>
      <c r="G530" s="100">
        <f t="shared" si="8"/>
        <v>306</v>
      </c>
      <c r="H530" s="101"/>
      <c r="I530" s="100">
        <f>G530*H530</f>
        <v>0</v>
      </c>
      <c r="J530" s="39" t="s">
        <v>3336</v>
      </c>
      <c r="K530" s="40" t="s">
        <v>41</v>
      </c>
      <c r="L530" s="41"/>
      <c r="M530" s="42" t="str">
        <f>HYPERLINK("https://catalog.onliner.by/xmaslights/neonnight/nn331306", "https://catalog.onliner.by/xmaslights/neonnight/nn331306")</f>
        <v>https://catalog.onliner.by/xmaslights/neonnight/nn331306</v>
      </c>
      <c r="N530" s="42" t="str">
        <f>HYPERLINK("https://pronto.by/catalog/product/331-306.html", "https://pronto.by/catalog/product/331-306.html")</f>
        <v>https://pronto.by/catalog/product/331-306.html</v>
      </c>
    </row>
    <row r="531" spans="1:14" customFormat="1" ht="41.4">
      <c r="A531" s="35" t="s">
        <v>1281</v>
      </c>
      <c r="B531" s="19" t="s">
        <v>1282</v>
      </c>
      <c r="C531" s="20" t="s">
        <v>1283</v>
      </c>
      <c r="D531" s="36" t="s">
        <v>28</v>
      </c>
      <c r="E531" s="37" t="s">
        <v>3290</v>
      </c>
      <c r="F531" s="43">
        <v>306</v>
      </c>
      <c r="G531" s="100">
        <f t="shared" si="8"/>
        <v>306</v>
      </c>
      <c r="H531" s="101"/>
      <c r="I531" s="100">
        <f>G531*H531</f>
        <v>0</v>
      </c>
      <c r="J531" s="39" t="s">
        <v>3336</v>
      </c>
      <c r="K531" s="40" t="s">
        <v>41</v>
      </c>
      <c r="L531" s="41"/>
      <c r="M531" s="42" t="str">
        <f>HYPERLINK("https://catalog.onliner.by/xmaslights/neonnight/nn331325", "https://catalog.onliner.by/xmaslights/neonnight/nn331325")</f>
        <v>https://catalog.onliner.by/xmaslights/neonnight/nn331325</v>
      </c>
      <c r="N531" s="42" t="str">
        <f>HYPERLINK("https://pronto.by/catalog/product/331-325.html", "https://pronto.by/catalog/product/331-325.html")</f>
        <v>https://pronto.by/catalog/product/331-325.html</v>
      </c>
    </row>
    <row r="532" spans="1:14" customFormat="1" ht="41.4">
      <c r="A532" s="35" t="s">
        <v>1284</v>
      </c>
      <c r="B532" s="19" t="s">
        <v>1285</v>
      </c>
      <c r="C532" s="20" t="s">
        <v>1286</v>
      </c>
      <c r="D532" s="36" t="s">
        <v>28</v>
      </c>
      <c r="E532" s="37" t="s">
        <v>3283</v>
      </c>
      <c r="F532" s="43">
        <v>335.58000000000004</v>
      </c>
      <c r="G532" s="100">
        <f t="shared" si="8"/>
        <v>335.58</v>
      </c>
      <c r="H532" s="101"/>
      <c r="I532" s="100">
        <f>G532*H532</f>
        <v>0</v>
      </c>
      <c r="J532" s="39" t="s">
        <v>3336</v>
      </c>
      <c r="K532" s="40" t="s">
        <v>41</v>
      </c>
      <c r="L532" s="41"/>
      <c r="M532" s="42" t="str">
        <f>HYPERLINK("https://catalog.onliner.by/xmaslights/neonnight/nn331321", "https://catalog.onliner.by/xmaslights/neonnight/nn331321")</f>
        <v>https://catalog.onliner.by/xmaslights/neonnight/nn331321</v>
      </c>
      <c r="N532" s="42" t="str">
        <f>HYPERLINK("https://pronto.by/catalog/product/331-321.html", "https://pronto.by/catalog/product/331-321.html")</f>
        <v>https://pronto.by/catalog/product/331-321.html</v>
      </c>
    </row>
    <row r="533" spans="1:14" customFormat="1" ht="41.4">
      <c r="A533" s="35" t="s">
        <v>1287</v>
      </c>
      <c r="B533" s="19" t="s">
        <v>1288</v>
      </c>
      <c r="C533" s="20" t="s">
        <v>1289</v>
      </c>
      <c r="D533" s="36" t="s">
        <v>28</v>
      </c>
      <c r="E533" s="37" t="s">
        <v>3290</v>
      </c>
      <c r="F533" s="43">
        <v>247.86</v>
      </c>
      <c r="G533" s="100">
        <f t="shared" si="8"/>
        <v>247.86</v>
      </c>
      <c r="H533" s="101"/>
      <c r="I533" s="100">
        <f>G533*H533</f>
        <v>0</v>
      </c>
      <c r="J533" s="39" t="s">
        <v>3336</v>
      </c>
      <c r="K533" s="40" t="s">
        <v>41</v>
      </c>
      <c r="L533" s="41"/>
      <c r="M533" s="42" t="str">
        <f>HYPERLINK("https://catalog.onliner.by/xmaslights/neonnight/nn331322", "https://catalog.onliner.by/xmaslights/neonnight/nn331322")</f>
        <v>https://catalog.onliner.by/xmaslights/neonnight/nn331322</v>
      </c>
      <c r="N533" s="42" t="str">
        <f>HYPERLINK("https://pronto.by/catalog/product/331-322.html", "https://pronto.by/catalog/product/331-322.html")</f>
        <v>https://pronto.by/catalog/product/331-322.html</v>
      </c>
    </row>
    <row r="534" spans="1:14" customFormat="1" ht="41.4">
      <c r="A534" s="35" t="s">
        <v>1290</v>
      </c>
      <c r="B534" s="19" t="s">
        <v>1291</v>
      </c>
      <c r="C534" s="20" t="s">
        <v>1292</v>
      </c>
      <c r="D534" s="36" t="s">
        <v>28</v>
      </c>
      <c r="E534" s="37" t="s">
        <v>3290</v>
      </c>
      <c r="F534" s="43">
        <v>302.04000000000002</v>
      </c>
      <c r="G534" s="100">
        <f t="shared" si="8"/>
        <v>302.04000000000002</v>
      </c>
      <c r="H534" s="101"/>
      <c r="I534" s="100">
        <f>G534*H534</f>
        <v>0</v>
      </c>
      <c r="J534" s="39" t="s">
        <v>3336</v>
      </c>
      <c r="K534" s="40" t="s">
        <v>41</v>
      </c>
      <c r="L534" s="41"/>
      <c r="M534" s="42" t="str">
        <f>HYPERLINK("https://catalog.onliner.by/xmaslights/neonnight/nn331329", "https://catalog.onliner.by/xmaslights/neonnight/nn331329")</f>
        <v>https://catalog.onliner.by/xmaslights/neonnight/nn331329</v>
      </c>
      <c r="N534" s="42" t="str">
        <f>HYPERLINK("https://pronto.by/catalog/product/331-329.html", "https://pronto.by/catalog/product/331-329.html")</f>
        <v>https://pronto.by/catalog/product/331-329.html</v>
      </c>
    </row>
    <row r="535" spans="1:14" customFormat="1" ht="41.4">
      <c r="A535" s="35" t="s">
        <v>1293</v>
      </c>
      <c r="B535" s="19" t="s">
        <v>1294</v>
      </c>
      <c r="C535" s="20" t="s">
        <v>1295</v>
      </c>
      <c r="D535" s="36" t="s">
        <v>28</v>
      </c>
      <c r="E535" s="37" t="s">
        <v>3283</v>
      </c>
      <c r="F535" s="43">
        <v>200.76000000000002</v>
      </c>
      <c r="G535" s="100">
        <f t="shared" si="8"/>
        <v>200.76</v>
      </c>
      <c r="H535" s="101"/>
      <c r="I535" s="100">
        <f>G535*H535</f>
        <v>0</v>
      </c>
      <c r="J535" s="39" t="s">
        <v>3336</v>
      </c>
      <c r="K535" s="40" t="s">
        <v>41</v>
      </c>
      <c r="L535" s="41"/>
      <c r="M535" s="42" t="str">
        <f>HYPERLINK("https://catalog.onliner.by/xmaslights/neonnight/nn331323", "https://catalog.onliner.by/xmaslights/neonnight/nn331323")</f>
        <v>https://catalog.onliner.by/xmaslights/neonnight/nn331323</v>
      </c>
      <c r="N535" s="42" t="str">
        <f>HYPERLINK("https://pronto.by/catalog/product/331-323.html", "https://pronto.by/catalog/product/331-323.html")</f>
        <v>https://pronto.by/catalog/product/331-323.html</v>
      </c>
    </row>
    <row r="536" spans="1:14" customFormat="1" ht="41.4">
      <c r="A536" s="35" t="s">
        <v>1296</v>
      </c>
      <c r="B536" s="19" t="s">
        <v>1297</v>
      </c>
      <c r="C536" s="20" t="s">
        <v>1298</v>
      </c>
      <c r="D536" s="36" t="s">
        <v>28</v>
      </c>
      <c r="E536" s="37" t="s">
        <v>3290</v>
      </c>
      <c r="F536" s="43">
        <v>306</v>
      </c>
      <c r="G536" s="100">
        <f t="shared" si="8"/>
        <v>306</v>
      </c>
      <c r="H536" s="101"/>
      <c r="I536" s="100">
        <f>G536*H536</f>
        <v>0</v>
      </c>
      <c r="J536" s="39" t="s">
        <v>3336</v>
      </c>
      <c r="K536" s="40" t="s">
        <v>41</v>
      </c>
      <c r="L536" s="41"/>
      <c r="M536" s="42" t="str">
        <f>HYPERLINK("https://catalog.onliner.by/xmaslights/neonnight/nn331326", "https://catalog.onliner.by/xmaslights/neonnight/nn331326")</f>
        <v>https://catalog.onliner.by/xmaslights/neonnight/nn331326</v>
      </c>
      <c r="N536" s="42" t="str">
        <f>HYPERLINK("https://pronto.by/catalog/product/331-326.html", "https://pronto.by/catalog/product/331-326.html")</f>
        <v>https://pronto.by/catalog/product/331-326.html</v>
      </c>
    </row>
    <row r="537" spans="1:14" customFormat="1" ht="41.4">
      <c r="A537" s="35" t="s">
        <v>1299</v>
      </c>
      <c r="B537" s="19" t="s">
        <v>1300</v>
      </c>
      <c r="C537" s="20" t="s">
        <v>1301</v>
      </c>
      <c r="D537" s="36" t="s">
        <v>28</v>
      </c>
      <c r="E537" s="37" t="s">
        <v>3283</v>
      </c>
      <c r="F537" s="43">
        <v>125.58</v>
      </c>
      <c r="G537" s="100">
        <f t="shared" si="8"/>
        <v>125.58</v>
      </c>
      <c r="H537" s="101"/>
      <c r="I537" s="100">
        <f>G537*H537</f>
        <v>0</v>
      </c>
      <c r="J537" s="39" t="s">
        <v>3336</v>
      </c>
      <c r="K537" s="40" t="s">
        <v>41</v>
      </c>
      <c r="L537" s="41"/>
      <c r="M537" s="42" t="str">
        <f>HYPERLINK("https://catalog.onliner.by/xmaslights/neonnight/331356", "https://catalog.onliner.by/xmaslights/neonnight/331356")</f>
        <v>https://catalog.onliner.by/xmaslights/neonnight/331356</v>
      </c>
      <c r="N537" s="42" t="str">
        <f>HYPERLINK("https://pronto.by/catalog/product/331-356.html", "https://pronto.by/catalog/product/331-356.html")</f>
        <v>https://pronto.by/catalog/product/331-356.html</v>
      </c>
    </row>
    <row r="538" spans="1:14" customFormat="1" ht="41.4">
      <c r="A538" s="35" t="s">
        <v>1302</v>
      </c>
      <c r="B538" s="19" t="s">
        <v>1303</v>
      </c>
      <c r="C538" s="20" t="s">
        <v>1304</v>
      </c>
      <c r="D538" s="36" t="s">
        <v>28</v>
      </c>
      <c r="E538" s="37" t="s">
        <v>3292</v>
      </c>
      <c r="F538" s="43">
        <v>125.58</v>
      </c>
      <c r="G538" s="100">
        <f t="shared" si="8"/>
        <v>125.58</v>
      </c>
      <c r="H538" s="101"/>
      <c r="I538" s="100">
        <f>G538*H538</f>
        <v>0</v>
      </c>
      <c r="J538" s="39" t="s">
        <v>3336</v>
      </c>
      <c r="K538" s="40" t="s">
        <v>41</v>
      </c>
      <c r="L538" s="41"/>
      <c r="M538" s="42" t="str">
        <f>HYPERLINK("https://catalog.onliner.by/xmaslights/neonnight/331357", "https://catalog.onliner.by/xmaslights/neonnight/331357")</f>
        <v>https://catalog.onliner.by/xmaslights/neonnight/331357</v>
      </c>
      <c r="N538" s="42" t="str">
        <f>HYPERLINK("https://pronto.by/catalog/product/331-357.html", "https://pronto.by/catalog/product/331-357.html")</f>
        <v>https://pronto.by/catalog/product/331-357.html</v>
      </c>
    </row>
    <row r="539" spans="1:14" customFormat="1" ht="81.599999999999994">
      <c r="A539" s="35" t="s">
        <v>1305</v>
      </c>
      <c r="B539" s="19" t="s">
        <v>1306</v>
      </c>
      <c r="C539" s="20" t="s">
        <v>1307</v>
      </c>
      <c r="D539" s="36" t="s">
        <v>28</v>
      </c>
      <c r="E539" s="37" t="s">
        <v>3273</v>
      </c>
      <c r="F539" s="43">
        <v>125.58</v>
      </c>
      <c r="G539" s="100">
        <f t="shared" si="8"/>
        <v>125.58</v>
      </c>
      <c r="H539" s="101"/>
      <c r="I539" s="100">
        <f>G539*H539</f>
        <v>0</v>
      </c>
      <c r="J539" s="39" t="s">
        <v>3336</v>
      </c>
      <c r="K539" s="40" t="s">
        <v>41</v>
      </c>
      <c r="L539" s="41"/>
      <c r="M539" s="42" t="str">
        <f>HYPERLINK("https://catalog.onliner.by/xmaslights/neonnight/neon331355", "https://catalog.onliner.by/xmaslights/neonnight/neon331355")</f>
        <v>https://catalog.onliner.by/xmaslights/neonnight/neon331355</v>
      </c>
      <c r="N539" s="42" t="str">
        <f>HYPERLINK("https://pronto.by/catalog/prazdnichnaya-svetotehnika/outdoor-konechnye-potrebiteli-i-malyy-biznes/girlyanda-klip-layt-ip-new-budet-v-g/klip-layt-3-niti/331-355.html", "https://pronto.by/catalog/prazdnichnaya-svetotehnika/outdoor-konechnye-potrebiteli-i-malyy-biznes/girlyanda-klip-layt-ip-new-budet-v-g/klip-layt-3-niti/331-355.html")</f>
        <v>https://pronto.by/catalog/prazdnichnaya-svetotehnika/outdoor-konechnye-potrebiteli-i-malyy-biznes/girlyanda-klip-layt-ip-new-budet-v-g/klip-layt-3-niti/331-355.html</v>
      </c>
    </row>
    <row r="540" spans="1:14" customFormat="1" ht="81.599999999999994">
      <c r="A540" s="35" t="s">
        <v>1308</v>
      </c>
      <c r="B540" s="19" t="s">
        <v>1309</v>
      </c>
      <c r="C540" s="20" t="s">
        <v>1310</v>
      </c>
      <c r="D540" s="36" t="s">
        <v>28</v>
      </c>
      <c r="E540" s="37" t="s">
        <v>3280</v>
      </c>
      <c r="F540" s="43">
        <v>160.61999999999998</v>
      </c>
      <c r="G540" s="100">
        <f t="shared" si="8"/>
        <v>160.62</v>
      </c>
      <c r="H540" s="101"/>
      <c r="I540" s="100">
        <f>G540*H540</f>
        <v>0</v>
      </c>
      <c r="J540" s="39" t="s">
        <v>3336</v>
      </c>
      <c r="K540" s="40" t="s">
        <v>69</v>
      </c>
      <c r="L540" s="41"/>
      <c r="M540" s="42" t="str">
        <f>HYPERLINK("https://catalog.onliner.by/xmaslights/neonnight/neon331359", "https://catalog.onliner.by/xmaslights/neonnight/neon331359")</f>
        <v>https://catalog.onliner.by/xmaslights/neonnight/neon331359</v>
      </c>
      <c r="N540" s="42" t="str">
        <f>HYPERLINK("https://pronto.by/catalog/prazdnichnaya-svetotehnika/outdoor-konechnye-potrebiteli-i-malyy-biznes/girlyanda-klip-layt-ip-new-budet-v-g/klip-layt-3-niti/331-359.html", "https://pronto.by/catalog/prazdnichnaya-svetotehnika/outdoor-konechnye-potrebiteli-i-malyy-biznes/girlyanda-klip-layt-ip-new-budet-v-g/klip-layt-3-niti/331-359.html")</f>
        <v>https://pronto.by/catalog/prazdnichnaya-svetotehnika/outdoor-konechnye-potrebiteli-i-malyy-biznes/girlyanda-klip-layt-ip-new-budet-v-g/klip-layt-3-niti/331-359.html</v>
      </c>
    </row>
    <row r="541" spans="1:14" customFormat="1" ht="81.599999999999994">
      <c r="A541" s="35" t="s">
        <v>1311</v>
      </c>
      <c r="B541" s="19" t="s">
        <v>1312</v>
      </c>
      <c r="C541" s="20" t="s">
        <v>1313</v>
      </c>
      <c r="D541" s="36" t="s">
        <v>28</v>
      </c>
      <c r="E541" s="37" t="s">
        <v>3280</v>
      </c>
      <c r="F541" s="43">
        <v>79.14</v>
      </c>
      <c r="G541" s="100">
        <f t="shared" si="8"/>
        <v>79.14</v>
      </c>
      <c r="H541" s="101"/>
      <c r="I541" s="100">
        <f>G541*H541</f>
        <v>0</v>
      </c>
      <c r="J541" s="39" t="s">
        <v>3336</v>
      </c>
      <c r="K541" s="40" t="s">
        <v>69</v>
      </c>
      <c r="L541" s="41"/>
      <c r="M541" s="42" t="str">
        <f>HYPERLINK("https://catalog.onliner.by/xmaslights/neonnight/neon331358", "https://catalog.onliner.by/xmaslights/neonnight/neon331358")</f>
        <v>https://catalog.onliner.by/xmaslights/neonnight/neon331358</v>
      </c>
      <c r="N541" s="42" t="str">
        <f>HYPERLINK("https://pronto.by/catalog/prazdnichnaya-svetotehnika/outdoor-konechnye-potrebiteli-i-malyy-biznes/girlyanda-klip-layt-ip-new-budet-v-g/klip-layt-3-niti/331-358.html", "https://pronto.by/catalog/prazdnichnaya-svetotehnika/outdoor-konechnye-potrebiteli-i-malyy-biznes/girlyanda-klip-layt-ip-new-budet-v-g/klip-layt-3-niti/331-358.html")</f>
        <v>https://pronto.by/catalog/prazdnichnaya-svetotehnika/outdoor-konechnye-potrebiteli-i-malyy-biznes/girlyanda-klip-layt-ip-new-budet-v-g/klip-layt-3-niti/331-358.html</v>
      </c>
    </row>
    <row r="542" spans="1:14" customFormat="1" ht="15.6">
      <c r="A542" s="80" t="s">
        <v>3623</v>
      </c>
      <c r="B542" s="67"/>
      <c r="C542" s="67"/>
      <c r="D542" s="32"/>
      <c r="E542" s="32"/>
      <c r="F542" s="32"/>
      <c r="G542" s="52"/>
      <c r="H542" s="52"/>
      <c r="I542" s="52"/>
      <c r="J542" s="32"/>
      <c r="K542" s="32"/>
      <c r="L542" s="33"/>
      <c r="M542" s="33"/>
      <c r="N542" s="34"/>
    </row>
    <row r="543" spans="1:14" customFormat="1" ht="41.4">
      <c r="A543" s="35" t="s">
        <v>1314</v>
      </c>
      <c r="B543" s="19" t="s">
        <v>1315</v>
      </c>
      <c r="C543" s="20" t="s">
        <v>1316</v>
      </c>
      <c r="D543" s="36" t="s">
        <v>28</v>
      </c>
      <c r="E543" s="37" t="s">
        <v>3291</v>
      </c>
      <c r="F543" s="43">
        <v>171.11999999999998</v>
      </c>
      <c r="G543" s="100">
        <f t="shared" si="8"/>
        <v>171.12</v>
      </c>
      <c r="H543" s="101"/>
      <c r="I543" s="100">
        <f>G543*H543</f>
        <v>0</v>
      </c>
      <c r="J543" s="39" t="s">
        <v>3336</v>
      </c>
      <c r="K543" s="40" t="s">
        <v>69</v>
      </c>
      <c r="L543" s="41"/>
      <c r="M543" s="42" t="str">
        <f>HYPERLINK("https://catalog.onliner.by/xmaslights/neonnight/331332", "https://catalog.onliner.by/xmaslights/neonnight/331332")</f>
        <v>https://catalog.onliner.by/xmaslights/neonnight/331332</v>
      </c>
      <c r="N543" s="42" t="str">
        <f>HYPERLINK("https://pronto.by/catalog/product/331-332.html", "https://pronto.by/catalog/product/331-332.html")</f>
        <v>https://pronto.by/catalog/product/331-332.html</v>
      </c>
    </row>
    <row r="544" spans="1:14" customFormat="1" ht="41.4">
      <c r="A544" s="35" t="s">
        <v>1317</v>
      </c>
      <c r="B544" s="19" t="s">
        <v>1318</v>
      </c>
      <c r="C544" s="20" t="s">
        <v>1319</v>
      </c>
      <c r="D544" s="36" t="s">
        <v>28</v>
      </c>
      <c r="E544" s="37" t="s">
        <v>3290</v>
      </c>
      <c r="F544" s="43">
        <v>205.32000000000002</v>
      </c>
      <c r="G544" s="100">
        <f t="shared" si="8"/>
        <v>205.32</v>
      </c>
      <c r="H544" s="101"/>
      <c r="I544" s="100">
        <f>G544*H544</f>
        <v>0</v>
      </c>
      <c r="J544" s="39" t="s">
        <v>3336</v>
      </c>
      <c r="K544" s="40" t="s">
        <v>41</v>
      </c>
      <c r="L544" s="41"/>
      <c r="M544" s="42" t="str">
        <f>HYPERLINK("https://catalog.onliner.by/xmaslights/neonnight/331336", "https://catalog.onliner.by/xmaslights/neonnight/331336")</f>
        <v>https://catalog.onliner.by/xmaslights/neonnight/331336</v>
      </c>
      <c r="N544" s="42" t="str">
        <f>HYPERLINK("https://pronto.by/catalog/product/331-336.html", "https://pronto.by/catalog/product/331-336.html")</f>
        <v>https://pronto.by/catalog/product/331-336.html</v>
      </c>
    </row>
    <row r="545" spans="1:14" customFormat="1" ht="41.4">
      <c r="A545" s="35" t="s">
        <v>1320</v>
      </c>
      <c r="B545" s="19" t="s">
        <v>1321</v>
      </c>
      <c r="C545" s="20" t="s">
        <v>1322</v>
      </c>
      <c r="D545" s="36" t="s">
        <v>28</v>
      </c>
      <c r="E545" s="37" t="s">
        <v>3291</v>
      </c>
      <c r="F545" s="43">
        <v>150.84</v>
      </c>
      <c r="G545" s="100">
        <f t="shared" si="8"/>
        <v>150.84</v>
      </c>
      <c r="H545" s="101"/>
      <c r="I545" s="100">
        <f>G545*H545</f>
        <v>0</v>
      </c>
      <c r="J545" s="39" t="s">
        <v>3336</v>
      </c>
      <c r="K545" s="40" t="s">
        <v>41</v>
      </c>
      <c r="L545" s="41"/>
      <c r="M545" s="42" t="str">
        <f>HYPERLINK("https://catalog.onliner.by/xmaslights/neonnight/331331", "https://catalog.onliner.by/xmaslights/neonnight/331331")</f>
        <v>https://catalog.onliner.by/xmaslights/neonnight/331331</v>
      </c>
      <c r="N545" s="42" t="str">
        <f>HYPERLINK("https://pronto.by/catalog/product/331-331.html", "https://pronto.by/catalog/product/331-331.html")</f>
        <v>https://pronto.by/catalog/product/331-331.html</v>
      </c>
    </row>
    <row r="546" spans="1:14" customFormat="1" ht="41.4">
      <c r="A546" s="35" t="s">
        <v>1323</v>
      </c>
      <c r="B546" s="19" t="s">
        <v>1324</v>
      </c>
      <c r="C546" s="20" t="s">
        <v>1325</v>
      </c>
      <c r="D546" s="36" t="s">
        <v>28</v>
      </c>
      <c r="E546" s="37" t="s">
        <v>3291</v>
      </c>
      <c r="F546" s="43">
        <v>187.68</v>
      </c>
      <c r="G546" s="100">
        <f t="shared" si="8"/>
        <v>187.68</v>
      </c>
      <c r="H546" s="101"/>
      <c r="I546" s="100">
        <f>G546*H546</f>
        <v>0</v>
      </c>
      <c r="J546" s="39" t="s">
        <v>3336</v>
      </c>
      <c r="K546" s="40" t="s">
        <v>69</v>
      </c>
      <c r="L546" s="41"/>
      <c r="M546" s="42" t="str">
        <f>HYPERLINK("https://catalog.onliner.by/xmaslights/neonnight/nn331335", "https://catalog.onliner.by/xmaslights/neonnight/nn331335")</f>
        <v>https://catalog.onliner.by/xmaslights/neonnight/nn331335</v>
      </c>
      <c r="N546" s="42" t="str">
        <f>HYPERLINK("https://pronto.by/catalog/product/331-335.html", "https://pronto.by/catalog/product/331-335.html")</f>
        <v>https://pronto.by/catalog/product/331-335.html</v>
      </c>
    </row>
    <row r="547" spans="1:14" customFormat="1" ht="41.4">
      <c r="A547" s="35" t="s">
        <v>1326</v>
      </c>
      <c r="B547" s="19" t="s">
        <v>1327</v>
      </c>
      <c r="C547" s="20" t="s">
        <v>1328</v>
      </c>
      <c r="D547" s="36" t="s">
        <v>28</v>
      </c>
      <c r="E547" s="37" t="s">
        <v>3290</v>
      </c>
      <c r="F547" s="43">
        <v>240.89999999999998</v>
      </c>
      <c r="G547" s="100">
        <f t="shared" si="8"/>
        <v>240.9</v>
      </c>
      <c r="H547" s="101"/>
      <c r="I547" s="100">
        <f>G547*H547</f>
        <v>0</v>
      </c>
      <c r="J547" s="39" t="s">
        <v>3336</v>
      </c>
      <c r="K547" s="40" t="s">
        <v>41</v>
      </c>
      <c r="L547" s="41"/>
      <c r="M547" s="42" t="str">
        <f>HYPERLINK("https://catalog.onliner.by/xmaslights/neonnight/331334", "https://catalog.onliner.by/xmaslights/neonnight/331334")</f>
        <v>https://catalog.onliner.by/xmaslights/neonnight/331334</v>
      </c>
      <c r="N547" s="42" t="str">
        <f>HYPERLINK("https://pronto.by/catalog/product/331-334.html", "https://pronto.by/catalog/product/331-334.html")</f>
        <v>https://pronto.by/catalog/product/331-334.html</v>
      </c>
    </row>
    <row r="548" spans="1:14" customFormat="1" ht="81.599999999999994">
      <c r="A548" s="35" t="s">
        <v>1329</v>
      </c>
      <c r="B548" s="19" t="s">
        <v>1330</v>
      </c>
      <c r="C548" s="20" t="s">
        <v>1331</v>
      </c>
      <c r="D548" s="36" t="s">
        <v>28</v>
      </c>
      <c r="E548" s="37" t="s">
        <v>3290</v>
      </c>
      <c r="F548" s="43">
        <v>263.39999999999998</v>
      </c>
      <c r="G548" s="100">
        <f t="shared" si="8"/>
        <v>263.39999999999998</v>
      </c>
      <c r="H548" s="101"/>
      <c r="I548" s="100">
        <f>G548*H548</f>
        <v>0</v>
      </c>
      <c r="J548" s="39" t="s">
        <v>3336</v>
      </c>
      <c r="K548" s="40" t="s">
        <v>41</v>
      </c>
      <c r="L548" s="41"/>
      <c r="M548" s="42" t="str">
        <f>HYPERLINK("https://catalog.onliner.by/xmaslights/neonnight/neon331338", "https://catalog.onliner.by/xmaslights/neonnight/neon331338")</f>
        <v>https://catalog.onliner.by/xmaslights/neonnight/neon331338</v>
      </c>
      <c r="N548" s="42" t="str">
        <f>HYPERLINK("https://pronto.by/catalog/prazdnichnaya-svetotehnika/outdoor-konechnye-potrebiteli-i-malyy-biznes/girlyanda-klip-layt-ip-new-budet-v-g/klip-layt-5-nitey/331-338.html", "https://pronto.by/catalog/prazdnichnaya-svetotehnika/outdoor-konechnye-potrebiteli-i-malyy-biznes/girlyanda-klip-layt-ip-new-budet-v-g/klip-layt-5-nitey/331-338.html")</f>
        <v>https://pronto.by/catalog/prazdnichnaya-svetotehnika/outdoor-konechnye-potrebiteli-i-malyy-biznes/girlyanda-klip-layt-ip-new-budet-v-g/klip-layt-5-nitey/331-338.html</v>
      </c>
    </row>
    <row r="549" spans="1:14" customFormat="1" ht="41.4">
      <c r="A549" s="35" t="s">
        <v>1332</v>
      </c>
      <c r="B549" s="19" t="s">
        <v>1333</v>
      </c>
      <c r="C549" s="20" t="s">
        <v>1334</v>
      </c>
      <c r="D549" s="36" t="s">
        <v>28</v>
      </c>
      <c r="E549" s="37" t="s">
        <v>3290</v>
      </c>
      <c r="F549" s="43">
        <v>312.89999999999998</v>
      </c>
      <c r="G549" s="100">
        <f t="shared" si="8"/>
        <v>312.89999999999998</v>
      </c>
      <c r="H549" s="101"/>
      <c r="I549" s="100">
        <f>G549*H549</f>
        <v>0</v>
      </c>
      <c r="J549" s="39" t="s">
        <v>3336</v>
      </c>
      <c r="K549" s="40" t="s">
        <v>41</v>
      </c>
      <c r="L549" s="41"/>
      <c r="M549" s="42" t="str">
        <f>HYPERLINK("https://catalog.onliner.by/xmaslights/neonnight/331333", "https://catalog.onliner.by/xmaslights/neonnight/331333")</f>
        <v>https://catalog.onliner.by/xmaslights/neonnight/331333</v>
      </c>
      <c r="N549" s="42" t="str">
        <f>HYPERLINK("https://pronto.by/catalog/product/331-333.html", "https://pronto.by/catalog/product/331-333.html")</f>
        <v>https://pronto.by/catalog/product/331-333.html</v>
      </c>
    </row>
    <row r="550" spans="1:14" customFormat="1" ht="41.4">
      <c r="A550" s="35" t="s">
        <v>1335</v>
      </c>
      <c r="B550" s="19" t="s">
        <v>1336</v>
      </c>
      <c r="C550" s="20" t="s">
        <v>1337</v>
      </c>
      <c r="D550" s="36" t="s">
        <v>28</v>
      </c>
      <c r="E550" s="37" t="s">
        <v>3290</v>
      </c>
      <c r="F550" s="43">
        <v>263.39999999999998</v>
      </c>
      <c r="G550" s="100">
        <f t="shared" si="8"/>
        <v>263.39999999999998</v>
      </c>
      <c r="H550" s="101"/>
      <c r="I550" s="100">
        <f>G550*H550</f>
        <v>0</v>
      </c>
      <c r="J550" s="39" t="s">
        <v>3336</v>
      </c>
      <c r="K550" s="40" t="s">
        <v>69</v>
      </c>
      <c r="L550" s="41"/>
      <c r="M550" s="42" t="str">
        <f>HYPERLINK("https://catalog.onliner.by/xmaslights/neonnight/nn331337", "https://catalog.onliner.by/xmaslights/neonnight/nn331337")</f>
        <v>https://catalog.onliner.by/xmaslights/neonnight/nn331337</v>
      </c>
      <c r="N550" s="42" t="str">
        <f>HYPERLINK("https://pronto.by/catalog/product/331-337.html", "https://pronto.by/catalog/product/331-337.html")</f>
        <v>https://pronto.by/catalog/product/331-337.html</v>
      </c>
    </row>
    <row r="551" spans="1:14" customFormat="1" ht="15.6">
      <c r="A551" s="80" t="s">
        <v>3624</v>
      </c>
      <c r="B551" s="67"/>
      <c r="C551" s="67"/>
      <c r="D551" s="32"/>
      <c r="E551" s="32"/>
      <c r="F551" s="32"/>
      <c r="G551" s="52"/>
      <c r="H551" s="52"/>
      <c r="I551" s="52"/>
      <c r="J551" s="32"/>
      <c r="K551" s="32"/>
      <c r="L551" s="33"/>
      <c r="M551" s="33"/>
      <c r="N551" s="34"/>
    </row>
    <row r="552" spans="1:14" customFormat="1" ht="62.4">
      <c r="A552" s="35" t="s">
        <v>1338</v>
      </c>
      <c r="B552" s="19" t="s">
        <v>1339</v>
      </c>
      <c r="C552" s="20" t="s">
        <v>1340</v>
      </c>
      <c r="D552" s="36" t="s">
        <v>28</v>
      </c>
      <c r="E552" s="37" t="s">
        <v>3295</v>
      </c>
      <c r="F552" s="43">
        <v>536.94000000000005</v>
      </c>
      <c r="G552" s="100">
        <f t="shared" si="8"/>
        <v>536.94000000000005</v>
      </c>
      <c r="H552" s="101"/>
      <c r="I552" s="100">
        <f>G552*H552</f>
        <v>0</v>
      </c>
      <c r="J552" s="39" t="s">
        <v>3336</v>
      </c>
      <c r="K552" s="40" t="s">
        <v>31</v>
      </c>
      <c r="L552" s="41" t="s">
        <v>3625</v>
      </c>
      <c r="M552" s="42" t="str">
        <f>HYPERLINK("https://catalog.onliner.by/ledstrip/neonnight/245119245119", "https://catalog.onliner.by/ledstrip/neonnight/245119245119")</f>
        <v>https://catalog.onliner.by/ledstrip/neonnight/245119245119</v>
      </c>
      <c r="N552" s="42" t="str">
        <f>HYPERLINK("https://pronto.by/catalog/product/245-119.html", "https://pronto.by/catalog/product/245-119.html")</f>
        <v>https://pronto.by/catalog/product/245-119.html</v>
      </c>
    </row>
    <row r="553" spans="1:14" customFormat="1" ht="62.4">
      <c r="A553" s="35" t="s">
        <v>1341</v>
      </c>
      <c r="B553" s="19" t="s">
        <v>1342</v>
      </c>
      <c r="C553" s="20" t="s">
        <v>1343</v>
      </c>
      <c r="D553" s="36" t="s">
        <v>28</v>
      </c>
      <c r="E553" s="37" t="s">
        <v>3283</v>
      </c>
      <c r="F553" s="43">
        <v>238.14000000000001</v>
      </c>
      <c r="G553" s="100">
        <f t="shared" si="8"/>
        <v>238.14</v>
      </c>
      <c r="H553" s="101"/>
      <c r="I553" s="100">
        <f>G553*H553</f>
        <v>0</v>
      </c>
      <c r="J553" s="39" t="s">
        <v>3336</v>
      </c>
      <c r="K553" s="40" t="s">
        <v>31</v>
      </c>
      <c r="L553" s="41" t="s">
        <v>3626</v>
      </c>
      <c r="M553" s="42" t="str">
        <f>HYPERLINK("https://catalog.onliner.by/ledstrip/neonnight/245109245109", "https://catalog.onliner.by/ledstrip/neonnight/245109245109")</f>
        <v>https://catalog.onliner.by/ledstrip/neonnight/245109245109</v>
      </c>
      <c r="N553" s="42" t="str">
        <f>HYPERLINK("https://pronto.by/catalog/product/245-109.html", "https://pronto.by/catalog/product/245-109.html")</f>
        <v>https://pronto.by/catalog/product/245-109.html</v>
      </c>
    </row>
    <row r="554" spans="1:14" customFormat="1" ht="41.4">
      <c r="A554" s="35" t="s">
        <v>1344</v>
      </c>
      <c r="B554" s="19" t="s">
        <v>1345</v>
      </c>
      <c r="C554" s="20" t="s">
        <v>1346</v>
      </c>
      <c r="D554" s="36" t="s">
        <v>28</v>
      </c>
      <c r="E554" s="37" t="s">
        <v>3282</v>
      </c>
      <c r="F554" s="43">
        <v>32.520000000000003</v>
      </c>
      <c r="G554" s="100">
        <f t="shared" si="8"/>
        <v>32.520000000000003</v>
      </c>
      <c r="H554" s="101"/>
      <c r="I554" s="100">
        <f>G554*H554</f>
        <v>0</v>
      </c>
      <c r="J554" s="39" t="s">
        <v>3336</v>
      </c>
      <c r="K554" s="40" t="s">
        <v>31</v>
      </c>
      <c r="L554" s="41"/>
      <c r="M554" s="42" t="str">
        <f>HYPERLINK("https://catalog.onliner.by/xmaslights/neonnight/123031123031", "https://catalog.onliner.by/xmaslights/neonnight/123031123031")</f>
        <v>https://catalog.onliner.by/xmaslights/neonnight/123031123031</v>
      </c>
      <c r="N554" s="42" t="str">
        <f>HYPERLINK("https://pronto.by/catalog/product/123-031.html", "https://pronto.by/catalog/product/123-031.html")</f>
        <v>https://pronto.by/catalog/product/123-031.html</v>
      </c>
    </row>
    <row r="555" spans="1:14" customFormat="1" ht="30.6">
      <c r="A555" s="35" t="s">
        <v>1347</v>
      </c>
      <c r="B555" s="19" t="s">
        <v>1348</v>
      </c>
      <c r="C555" s="20" t="s">
        <v>1349</v>
      </c>
      <c r="D555" s="36" t="s">
        <v>28</v>
      </c>
      <c r="E555" s="37" t="s">
        <v>3283</v>
      </c>
      <c r="F555" s="43">
        <v>100.86000000000001</v>
      </c>
      <c r="G555" s="100">
        <f t="shared" si="8"/>
        <v>100.86</v>
      </c>
      <c r="H555" s="101"/>
      <c r="I555" s="100">
        <f>G555*H555</f>
        <v>0</v>
      </c>
      <c r="J555" s="39" t="s">
        <v>3336</v>
      </c>
      <c r="K555" s="40" t="s">
        <v>31</v>
      </c>
      <c r="L555" s="41"/>
      <c r="M555" s="42" t="str">
        <f>HYPERLINK("https://catalog.onliner.by/ledstrip/neoneon/12132910", "https://catalog.onliner.by/ledstrip/neoneon/12132910")</f>
        <v>https://catalog.onliner.by/ledstrip/neoneon/12132910</v>
      </c>
      <c r="N555" s="42" t="str">
        <f>HYPERLINK("https://pronto.by/catalog/product/121-329-10.html", "https://pronto.by/catalog/product/121-329-10.html")</f>
        <v>https://pronto.by/catalog/product/121-329-10.html</v>
      </c>
    </row>
    <row r="556" spans="1:14" customFormat="1" ht="30.6">
      <c r="A556" s="35" t="s">
        <v>1350</v>
      </c>
      <c r="B556" s="19" t="s">
        <v>1351</v>
      </c>
      <c r="C556" s="20" t="s">
        <v>1352</v>
      </c>
      <c r="D556" s="36" t="s">
        <v>28</v>
      </c>
      <c r="E556" s="37" t="s">
        <v>3295</v>
      </c>
      <c r="F556" s="43">
        <v>194.7</v>
      </c>
      <c r="G556" s="100">
        <f t="shared" si="8"/>
        <v>194.7</v>
      </c>
      <c r="H556" s="101"/>
      <c r="I556" s="100">
        <f>G556*H556</f>
        <v>0</v>
      </c>
      <c r="J556" s="39" t="s">
        <v>3336</v>
      </c>
      <c r="K556" s="40" t="s">
        <v>31</v>
      </c>
      <c r="L556" s="41"/>
      <c r="M556" s="42" t="str">
        <f>HYPERLINK("https://catalog.onliner.by/ledstrip/neoneon/12132920", "https://catalog.onliner.by/ledstrip/neoneon/12132920")</f>
        <v>https://catalog.onliner.by/ledstrip/neoneon/12132920</v>
      </c>
      <c r="N556" s="42" t="str">
        <f>HYPERLINK("https://pronto.by/catalog/product/121-329-20.html", "https://pronto.by/catalog/product/121-329-20.html")</f>
        <v>https://pronto.by/catalog/product/121-329-20.html</v>
      </c>
    </row>
    <row r="557" spans="1:14" customFormat="1" ht="30.6">
      <c r="A557" s="35" t="s">
        <v>1353</v>
      </c>
      <c r="B557" s="19" t="s">
        <v>1354</v>
      </c>
      <c r="C557" s="20" t="s">
        <v>1355</v>
      </c>
      <c r="D557" s="36" t="s">
        <v>28</v>
      </c>
      <c r="E557" s="37" t="s">
        <v>3283</v>
      </c>
      <c r="F557" s="43">
        <v>100.86000000000001</v>
      </c>
      <c r="G557" s="100">
        <f t="shared" si="8"/>
        <v>100.86</v>
      </c>
      <c r="H557" s="101"/>
      <c r="I557" s="100">
        <f>G557*H557</f>
        <v>0</v>
      </c>
      <c r="J557" s="39" t="s">
        <v>3336</v>
      </c>
      <c r="K557" s="40" t="s">
        <v>31</v>
      </c>
      <c r="L557" s="41"/>
      <c r="M557" s="42" t="str">
        <f>HYPERLINK("https://catalog.onliner.by/ledstrip/neoneon/12132610", "https://catalog.onliner.by/ledstrip/neoneon/12132610")</f>
        <v>https://catalog.onliner.by/ledstrip/neoneon/12132610</v>
      </c>
      <c r="N557" s="42" t="str">
        <f>HYPERLINK("https://pronto.by/catalog/product/121-326-10.html", "https://pronto.by/catalog/product/121-326-10.html")</f>
        <v>https://pronto.by/catalog/product/121-326-10.html</v>
      </c>
    </row>
    <row r="558" spans="1:14" customFormat="1" ht="30.6">
      <c r="A558" s="35" t="s">
        <v>1356</v>
      </c>
      <c r="B558" s="19" t="s">
        <v>1357</v>
      </c>
      <c r="C558" s="20" t="s">
        <v>1358</v>
      </c>
      <c r="D558" s="36" t="s">
        <v>28</v>
      </c>
      <c r="E558" s="37" t="s">
        <v>3295</v>
      </c>
      <c r="F558" s="43">
        <v>194.7</v>
      </c>
      <c r="G558" s="100">
        <f t="shared" si="8"/>
        <v>194.7</v>
      </c>
      <c r="H558" s="101"/>
      <c r="I558" s="100">
        <f>G558*H558</f>
        <v>0</v>
      </c>
      <c r="J558" s="39" t="s">
        <v>3336</v>
      </c>
      <c r="K558" s="40" t="s">
        <v>31</v>
      </c>
      <c r="L558" s="41"/>
      <c r="M558" s="42" t="str">
        <f>HYPERLINK("https://catalog.onliner.by/ledstrip/neoneon/12132620", "https://catalog.onliner.by/ledstrip/neoneon/12132620")</f>
        <v>https://catalog.onliner.by/ledstrip/neoneon/12132620</v>
      </c>
      <c r="N558" s="42" t="str">
        <f>HYPERLINK("https://pronto.by/catalog/product/121-326-20.html", "https://pronto.by/catalog/product/121-326-20.html")</f>
        <v>https://pronto.by/catalog/product/121-326-20.html</v>
      </c>
    </row>
    <row r="559" spans="1:14" customFormat="1" ht="30.6">
      <c r="A559" s="35" t="s">
        <v>1359</v>
      </c>
      <c r="B559" s="19" t="s">
        <v>1360</v>
      </c>
      <c r="C559" s="20" t="s">
        <v>1361</v>
      </c>
      <c r="D559" s="36" t="s">
        <v>28</v>
      </c>
      <c r="E559" s="37" t="s">
        <v>3290</v>
      </c>
      <c r="F559" s="43">
        <v>216.48</v>
      </c>
      <c r="G559" s="100">
        <f t="shared" si="8"/>
        <v>216.48</v>
      </c>
      <c r="H559" s="101"/>
      <c r="I559" s="100">
        <f>G559*H559</f>
        <v>0</v>
      </c>
      <c r="J559" s="39" t="s">
        <v>3336</v>
      </c>
      <c r="K559" s="40" t="s">
        <v>31</v>
      </c>
      <c r="L559" s="41"/>
      <c r="M559" s="42" t="str">
        <f>HYPERLINK("https://catalog.onliner.by/ledstrip/neonnight/12132314", "https://catalog.onliner.by/ledstrip/neonnight/12132314")</f>
        <v>https://catalog.onliner.by/ledstrip/neonnight/12132314</v>
      </c>
      <c r="N559" s="42" t="str">
        <f>HYPERLINK("https://pronto.by/catalog/product/121-323-14.html", "https://pronto.by/catalog/product/121-323-14.html")</f>
        <v>https://pronto.by/catalog/product/121-323-14.html</v>
      </c>
    </row>
    <row r="560" spans="1:14" customFormat="1" ht="41.4">
      <c r="A560" s="35" t="s">
        <v>1362</v>
      </c>
      <c r="B560" s="19" t="s">
        <v>1363</v>
      </c>
      <c r="C560" s="20" t="s">
        <v>1364</v>
      </c>
      <c r="D560" s="36" t="s">
        <v>28</v>
      </c>
      <c r="E560" s="37" t="s">
        <v>3290</v>
      </c>
      <c r="F560" s="43">
        <v>216.48</v>
      </c>
      <c r="G560" s="100">
        <f t="shared" si="8"/>
        <v>216.48</v>
      </c>
      <c r="H560" s="101"/>
      <c r="I560" s="100">
        <f>G560*H560</f>
        <v>0</v>
      </c>
      <c r="J560" s="39" t="s">
        <v>3336</v>
      </c>
      <c r="K560" s="40" t="s">
        <v>31</v>
      </c>
      <c r="L560" s="41"/>
      <c r="M560" s="42" t="str">
        <f>HYPERLINK("https://catalog.onliner.by/ledstrip/neonnight/12132814", "https://catalog.onliner.by/ledstrip/neonnight/12132814")</f>
        <v>https://catalog.onliner.by/ledstrip/neonnight/12132814</v>
      </c>
      <c r="N560" s="42" t="str">
        <f>HYPERLINK("https://pronto.by/catalog/product/121-328-14.html", "https://pronto.by/catalog/product/121-328-14.html")</f>
        <v>https://pronto.by/catalog/product/121-328-14.html</v>
      </c>
    </row>
    <row r="561" spans="1:14" customFormat="1" ht="30.6">
      <c r="A561" s="35" t="s">
        <v>1365</v>
      </c>
      <c r="B561" s="19" t="s">
        <v>1366</v>
      </c>
      <c r="C561" s="20" t="s">
        <v>1367</v>
      </c>
      <c r="D561" s="36" t="s">
        <v>28</v>
      </c>
      <c r="E561" s="37" t="s">
        <v>3290</v>
      </c>
      <c r="F561" s="43">
        <v>216.48</v>
      </c>
      <c r="G561" s="100">
        <f t="shared" si="8"/>
        <v>216.48</v>
      </c>
      <c r="H561" s="101"/>
      <c r="I561" s="100">
        <f>G561*H561</f>
        <v>0</v>
      </c>
      <c r="J561" s="39" t="s">
        <v>3336</v>
      </c>
      <c r="K561" s="40" t="s">
        <v>31</v>
      </c>
      <c r="L561" s="41"/>
      <c r="M561" s="42" t="str">
        <f>HYPERLINK("https://catalog.onliner.by/ledstrip/neonnight/12132714", "https://catalog.onliner.by/ledstrip/neonnight/12132714")</f>
        <v>https://catalog.onliner.by/ledstrip/neonnight/12132714</v>
      </c>
      <c r="N561" s="42" t="str">
        <f>HYPERLINK("https://pronto.by/catalog/product/121-327-14.html", "https://pronto.by/catalog/product/121-327-14.html")</f>
        <v>https://pronto.by/catalog/product/121-327-14.html</v>
      </c>
    </row>
    <row r="562" spans="1:14" customFormat="1" ht="15.6">
      <c r="A562" s="80" t="s">
        <v>3627</v>
      </c>
      <c r="B562" s="67"/>
      <c r="C562" s="67"/>
      <c r="D562" s="32"/>
      <c r="E562" s="32"/>
      <c r="F562" s="32"/>
      <c r="G562" s="52"/>
      <c r="H562" s="52"/>
      <c r="I562" s="52"/>
      <c r="J562" s="32"/>
      <c r="K562" s="32"/>
      <c r="L562" s="33"/>
      <c r="M562" s="33"/>
      <c r="N562" s="34"/>
    </row>
    <row r="563" spans="1:14" customFormat="1" ht="61.2">
      <c r="A563" s="35" t="s">
        <v>1368</v>
      </c>
      <c r="B563" s="19" t="s">
        <v>1369</v>
      </c>
      <c r="C563" s="20" t="s">
        <v>1370</v>
      </c>
      <c r="D563" s="36" t="s">
        <v>28</v>
      </c>
      <c r="E563" s="37" t="s">
        <v>3280</v>
      </c>
      <c r="F563" s="43">
        <v>105.84</v>
      </c>
      <c r="G563" s="100">
        <f t="shared" si="8"/>
        <v>105.84</v>
      </c>
      <c r="H563" s="101"/>
      <c r="I563" s="100">
        <f>G563*H563</f>
        <v>0</v>
      </c>
      <c r="J563" s="39" t="s">
        <v>3336</v>
      </c>
      <c r="K563" s="40" t="s">
        <v>31</v>
      </c>
      <c r="L563" s="41"/>
      <c r="M563" s="42" t="s">
        <v>1371</v>
      </c>
      <c r="N563" s="42" t="str">
        <f>HYPERLINK("https://pronto.by/catalog/prazdnichnaya-svetotehnika/outdoor-konechnye-potrebiteli-i-malyy-biznes/komplekty-belt-layta/131-003.html", "https://pronto.by/catalog/prazdnichnaya-svetotehnika/outdoor-konechnye-potrebiteli-i-malyy-biznes/komplekty-belt-layta/131-003.html")</f>
        <v>https://pronto.by/catalog/prazdnichnaya-svetotehnika/outdoor-konechnye-potrebiteli-i-malyy-biznes/komplekty-belt-layta/131-003.html</v>
      </c>
    </row>
    <row r="564" spans="1:14" customFormat="1" ht="69">
      <c r="A564" s="35" t="s">
        <v>1372</v>
      </c>
      <c r="B564" s="19" t="s">
        <v>1373</v>
      </c>
      <c r="C564" s="20" t="s">
        <v>1374</v>
      </c>
      <c r="D564" s="36" t="s">
        <v>28</v>
      </c>
      <c r="E564" s="37" t="s">
        <v>3280</v>
      </c>
      <c r="F564" s="43">
        <v>105.84</v>
      </c>
      <c r="G564" s="100">
        <f t="shared" si="8"/>
        <v>105.84</v>
      </c>
      <c r="H564" s="101"/>
      <c r="I564" s="100">
        <f>G564*H564</f>
        <v>0</v>
      </c>
      <c r="J564" s="39" t="s">
        <v>3336</v>
      </c>
      <c r="K564" s="40" t="s">
        <v>31</v>
      </c>
      <c r="L564" s="41"/>
      <c r="M564" s="42" t="s">
        <v>1375</v>
      </c>
      <c r="N564" s="42" t="str">
        <f>HYPERLINK("https://pronto.by/catalog/prazdnichnaya-svetotehnika/outdoor-konechnye-potrebiteli-i-malyy-biznes/komplekty-belt-layta/131-004.html", "https://pronto.by/catalog/prazdnichnaya-svetotehnika/outdoor-konechnye-potrebiteli-i-malyy-biznes/komplekty-belt-layta/131-004.html")</f>
        <v>https://pronto.by/catalog/prazdnichnaya-svetotehnika/outdoor-konechnye-potrebiteli-i-malyy-biznes/komplekty-belt-layta/131-004.html</v>
      </c>
    </row>
    <row r="565" spans="1:14" customFormat="1" ht="41.4">
      <c r="A565" s="53" t="s">
        <v>3628</v>
      </c>
      <c r="B565" s="19" t="s">
        <v>3629</v>
      </c>
      <c r="C565" s="20" t="s">
        <v>3630</v>
      </c>
      <c r="D565" s="36" t="s">
        <v>28</v>
      </c>
      <c r="E565" s="37" t="s">
        <v>3290</v>
      </c>
      <c r="F565" s="43">
        <v>211.62000000000003</v>
      </c>
      <c r="G565" s="100">
        <f t="shared" si="8"/>
        <v>211.62</v>
      </c>
      <c r="H565" s="101"/>
      <c r="I565" s="100">
        <f>G565*H565</f>
        <v>0</v>
      </c>
      <c r="J565" s="39" t="s">
        <v>3336</v>
      </c>
      <c r="K565" s="40" t="s">
        <v>31</v>
      </c>
      <c r="L565" s="41"/>
      <c r="M565" s="42" t="str">
        <f>HYPERLINK("https://catalog.onliner.by/ledstrip/neonnight/nn131007", "https://catalog.onliner.by/ledstrip/neonnight/nn131007")</f>
        <v>https://catalog.onliner.by/ledstrip/neonnight/nn131007</v>
      </c>
      <c r="N565" s="42" t="str">
        <f>HYPERLINK("https://pronto.by/catalog/product/131-007.html", "https://pronto.by/catalog/product/131-007.html")</f>
        <v>https://pronto.by/catalog/product/131-007.html</v>
      </c>
    </row>
    <row r="566" spans="1:14" customFormat="1" ht="41.4">
      <c r="A566" s="35" t="s">
        <v>1376</v>
      </c>
      <c r="B566" s="19" t="s">
        <v>1377</v>
      </c>
      <c r="C566" s="20" t="s">
        <v>1378</v>
      </c>
      <c r="D566" s="36" t="s">
        <v>28</v>
      </c>
      <c r="E566" s="37" t="s">
        <v>3290</v>
      </c>
      <c r="F566" s="43">
        <v>211.62000000000003</v>
      </c>
      <c r="G566" s="100">
        <f t="shared" si="8"/>
        <v>211.62</v>
      </c>
      <c r="H566" s="101"/>
      <c r="I566" s="100">
        <f>G566*H566</f>
        <v>0</v>
      </c>
      <c r="J566" s="39" t="s">
        <v>3336</v>
      </c>
      <c r="K566" s="40" t="s">
        <v>31</v>
      </c>
      <c r="L566" s="41"/>
      <c r="M566" s="42" t="str">
        <f>HYPERLINK("https://catalog.onliner.by/ledstrip/neonnight/nn131008", "https://catalog.onliner.by/ledstrip/neonnight/nn131008")</f>
        <v>https://catalog.onliner.by/ledstrip/neonnight/nn131008</v>
      </c>
      <c r="N566" s="42" t="str">
        <f>HYPERLINK("https://pronto.by/catalog/product/131-008.html", "https://pronto.by/catalog/product/131-008.html")</f>
        <v>https://pronto.by/catalog/product/131-008.html</v>
      </c>
    </row>
    <row r="567" spans="1:14" customFormat="1" ht="62.4">
      <c r="A567" s="35" t="s">
        <v>1379</v>
      </c>
      <c r="B567" s="19" t="s">
        <v>1380</v>
      </c>
      <c r="C567" s="20" t="s">
        <v>1381</v>
      </c>
      <c r="D567" s="36" t="s">
        <v>28</v>
      </c>
      <c r="E567" s="37" t="s">
        <v>3273</v>
      </c>
      <c r="F567" s="43">
        <v>49.02</v>
      </c>
      <c r="G567" s="100">
        <f t="shared" si="8"/>
        <v>49.02</v>
      </c>
      <c r="H567" s="101"/>
      <c r="I567" s="100">
        <f>G567*H567</f>
        <v>0</v>
      </c>
      <c r="J567" s="39" t="s">
        <v>3336</v>
      </c>
      <c r="K567" s="40" t="s">
        <v>31</v>
      </c>
      <c r="L567" s="41" t="s">
        <v>3610</v>
      </c>
      <c r="M567" s="42" t="str">
        <f>HYPERLINK("https://catalog.onliner.by/ledstrip/neonnight/nn131005", "https://catalog.onliner.by/ledstrip/neonnight/nn131005")</f>
        <v>https://catalog.onliner.by/ledstrip/neonnight/nn131005</v>
      </c>
      <c r="N567" s="42" t="str">
        <f>HYPERLINK("https://pronto.by/catalog/product/131-005.html", "https://pronto.by/catalog/product/131-005.html")</f>
        <v>https://pronto.by/catalog/product/131-005.html</v>
      </c>
    </row>
    <row r="568" spans="1:14" customFormat="1" ht="62.4">
      <c r="A568" s="35" t="s">
        <v>1382</v>
      </c>
      <c r="B568" s="19" t="s">
        <v>1383</v>
      </c>
      <c r="C568" s="20" t="s">
        <v>1384</v>
      </c>
      <c r="D568" s="36" t="s">
        <v>28</v>
      </c>
      <c r="E568" s="37" t="s">
        <v>3273</v>
      </c>
      <c r="F568" s="43">
        <v>49.02</v>
      </c>
      <c r="G568" s="100">
        <f t="shared" si="8"/>
        <v>49.02</v>
      </c>
      <c r="H568" s="101"/>
      <c r="I568" s="100">
        <f>G568*H568</f>
        <v>0</v>
      </c>
      <c r="J568" s="39" t="s">
        <v>3336</v>
      </c>
      <c r="K568" s="40" t="s">
        <v>31</v>
      </c>
      <c r="L568" s="41" t="s">
        <v>3610</v>
      </c>
      <c r="M568" s="42" t="str">
        <f>HYPERLINK("https://catalog.onliner.by/ledstrip/neonnight/nn131006", "https://catalog.onliner.by/ledstrip/neonnight/nn131006")</f>
        <v>https://catalog.onliner.by/ledstrip/neonnight/nn131006</v>
      </c>
      <c r="N568" s="42" t="str">
        <f>HYPERLINK("https://pronto.by/catalog/product/131-006.html", "https://pronto.by/catalog/product/131-006.html")</f>
        <v>https://pronto.by/catalog/product/131-006.html</v>
      </c>
    </row>
    <row r="569" spans="1:14" customFormat="1" ht="15.6">
      <c r="A569" s="80" t="s">
        <v>3631</v>
      </c>
      <c r="B569" s="67"/>
      <c r="C569" s="67"/>
      <c r="D569" s="32"/>
      <c r="E569" s="32"/>
      <c r="F569" s="32"/>
      <c r="G569" s="52"/>
      <c r="H569" s="52"/>
      <c r="I569" s="52"/>
      <c r="J569" s="32"/>
      <c r="K569" s="32"/>
      <c r="L569" s="33"/>
      <c r="M569" s="33"/>
      <c r="N569" s="34"/>
    </row>
    <row r="570" spans="1:14" customFormat="1" ht="15.6">
      <c r="A570" s="80" t="s">
        <v>3632</v>
      </c>
      <c r="B570" s="67"/>
      <c r="C570" s="67"/>
      <c r="D570" s="32"/>
      <c r="E570" s="32"/>
      <c r="F570" s="32"/>
      <c r="G570" s="52"/>
      <c r="H570" s="52"/>
      <c r="I570" s="52"/>
      <c r="J570" s="32"/>
      <c r="K570" s="32"/>
      <c r="L570" s="33"/>
      <c r="M570" s="33"/>
      <c r="N570" s="34"/>
    </row>
    <row r="571" spans="1:14" customFormat="1" ht="69">
      <c r="A571" s="35" t="s">
        <v>1385</v>
      </c>
      <c r="B571" s="19" t="s">
        <v>1386</v>
      </c>
      <c r="C571" s="20" t="s">
        <v>1387</v>
      </c>
      <c r="D571" s="36" t="s">
        <v>28</v>
      </c>
      <c r="E571" s="37" t="s">
        <v>3280</v>
      </c>
      <c r="F571" s="43">
        <v>1809.72</v>
      </c>
      <c r="G571" s="100">
        <f t="shared" si="8"/>
        <v>1809.72</v>
      </c>
      <c r="H571" s="101"/>
      <c r="I571" s="100">
        <f>G571*H571</f>
        <v>0</v>
      </c>
      <c r="J571" s="39" t="s">
        <v>3336</v>
      </c>
      <c r="K571" s="40" t="s">
        <v>41</v>
      </c>
      <c r="L571" s="41"/>
      <c r="M571" s="42" t="str">
        <f>HYPERLINK("https://catalog.onliner.by/xmaslights/neonnight/nn531105", "https://catalog.onliner.by/xmaslights/neonnight/nn531105")</f>
        <v>https://catalog.onliner.by/xmaslights/neonnight/nn531105</v>
      </c>
      <c r="N571" s="42" t="str">
        <f>HYPERLINK("https://pronto.by/catalog/product/531-105.html", "https://pronto.by/catalog/product/531-105.html")</f>
        <v>https://pronto.by/catalog/product/531-105.html</v>
      </c>
    </row>
    <row r="572" spans="1:14" customFormat="1" ht="82.8">
      <c r="A572" s="35" t="s">
        <v>1388</v>
      </c>
      <c r="B572" s="19" t="s">
        <v>1389</v>
      </c>
      <c r="C572" s="20" t="s">
        <v>1390</v>
      </c>
      <c r="D572" s="36" t="s">
        <v>28</v>
      </c>
      <c r="E572" s="37" t="s">
        <v>3280</v>
      </c>
      <c r="F572" s="43">
        <v>1809.72</v>
      </c>
      <c r="G572" s="100">
        <f t="shared" si="8"/>
        <v>1809.72</v>
      </c>
      <c r="H572" s="101"/>
      <c r="I572" s="100">
        <f>G572*H572</f>
        <v>0</v>
      </c>
      <c r="J572" s="39" t="s">
        <v>3336</v>
      </c>
      <c r="K572" s="40" t="s">
        <v>1391</v>
      </c>
      <c r="L572" s="41"/>
      <c r="M572" s="42" t="str">
        <f>HYPERLINK("https://catalog.onliner.by/xmaslights/neonnight/nn531102", "https://catalog.onliner.by/xmaslights/neonnight/nn531102")</f>
        <v>https://catalog.onliner.by/xmaslights/neonnight/nn531102</v>
      </c>
      <c r="N572" s="42" t="str">
        <f>HYPERLINK("https://pronto.by/catalog/product/531-102.html", "https://pronto.by/catalog/product/531-102.html")</f>
        <v>https://pronto.by/catalog/product/531-102.html</v>
      </c>
    </row>
    <row r="573" spans="1:14" customFormat="1" ht="71.400000000000006">
      <c r="A573" s="35" t="s">
        <v>1392</v>
      </c>
      <c r="B573" s="19" t="s">
        <v>1393</v>
      </c>
      <c r="C573" s="20" t="s">
        <v>1394</v>
      </c>
      <c r="D573" s="36" t="s">
        <v>28</v>
      </c>
      <c r="E573" s="37" t="s">
        <v>3280</v>
      </c>
      <c r="F573" s="43">
        <v>1676.1</v>
      </c>
      <c r="G573" s="100">
        <f t="shared" si="8"/>
        <v>1676.1</v>
      </c>
      <c r="H573" s="101"/>
      <c r="I573" s="100">
        <f>G573*H573</f>
        <v>0</v>
      </c>
      <c r="J573" s="39" t="s">
        <v>3336</v>
      </c>
      <c r="K573" s="40" t="s">
        <v>1391</v>
      </c>
      <c r="L573" s="41"/>
      <c r="M573" s="42" t="str">
        <f>HYPERLINK("https://catalog.onliner.by/xmaslights/neonnight/neon531108", "https://catalog.onliner.by/xmaslights/neonnight/neon531108")</f>
        <v>https://catalog.onliner.by/xmaslights/neonnight/neon531108</v>
      </c>
      <c r="N573" s="42" t="str">
        <f>HYPERLINK("https://pronto.by/catalog/prazdnichnaya-svetotehnika/outdoor-konechnye-potrebiteli-i-malyy-biznes/derevya/531-108.html", "https://pronto.by/catalog/prazdnichnaya-svetotehnika/outdoor-konechnye-potrebiteli-i-malyy-biznes/derevya/531-108.html")</f>
        <v>https://pronto.by/catalog/prazdnichnaya-svetotehnika/outdoor-konechnye-potrebiteli-i-malyy-biznes/derevya/531-108.html</v>
      </c>
    </row>
    <row r="574" spans="1:14" customFormat="1" ht="69">
      <c r="A574" s="35" t="s">
        <v>1395</v>
      </c>
      <c r="B574" s="19" t="s">
        <v>1396</v>
      </c>
      <c r="C574" s="20" t="s">
        <v>1397</v>
      </c>
      <c r="D574" s="36" t="s">
        <v>28</v>
      </c>
      <c r="E574" s="37" t="s">
        <v>3280</v>
      </c>
      <c r="F574" s="43">
        <v>1809.72</v>
      </c>
      <c r="G574" s="100">
        <f t="shared" si="8"/>
        <v>1809.72</v>
      </c>
      <c r="H574" s="101"/>
      <c r="I574" s="100">
        <f>G574*H574</f>
        <v>0</v>
      </c>
      <c r="J574" s="39" t="s">
        <v>3336</v>
      </c>
      <c r="K574" s="40" t="s">
        <v>1391</v>
      </c>
      <c r="L574" s="41"/>
      <c r="M574" s="42" t="str">
        <f>HYPERLINK("https://catalog.onliner.by/xmaslights/neonnight/nn531103", "https://catalog.onliner.by/xmaslights/neonnight/nn531103")</f>
        <v>https://catalog.onliner.by/xmaslights/neonnight/nn531103</v>
      </c>
      <c r="N574" s="42" t="str">
        <f>HYPERLINK("https://pronto.by/catalog/product/531-103.html", "https://pronto.by/catalog/product/531-103.html")</f>
        <v>https://pronto.by/catalog/product/531-103.html</v>
      </c>
    </row>
    <row r="575" spans="1:14" customFormat="1" ht="82.8">
      <c r="A575" s="35" t="s">
        <v>1398</v>
      </c>
      <c r="B575" s="19">
        <v>4601004001893</v>
      </c>
      <c r="C575" s="20" t="s">
        <v>1399</v>
      </c>
      <c r="D575" s="36" t="s">
        <v>28</v>
      </c>
      <c r="E575" s="37" t="s">
        <v>3280</v>
      </c>
      <c r="F575" s="43">
        <v>1809.72</v>
      </c>
      <c r="G575" s="100">
        <f t="shared" si="8"/>
        <v>1809.72</v>
      </c>
      <c r="H575" s="101"/>
      <c r="I575" s="100">
        <f>G575*H575</f>
        <v>0</v>
      </c>
      <c r="J575" s="39" t="s">
        <v>3336</v>
      </c>
      <c r="K575" s="40" t="s">
        <v>1391</v>
      </c>
      <c r="L575" s="41"/>
      <c r="M575" s="42" t="str">
        <f>HYPERLINK("https://catalog.onliner.by/xmaslights/neonnight/nn531104", "https://catalog.onliner.by/xmaslights/neonnight/nn531104")</f>
        <v>https://catalog.onliner.by/xmaslights/neonnight/nn531104</v>
      </c>
      <c r="N575" s="42" t="str">
        <f>HYPERLINK("https://pronto.by/catalog/product/531-104.html", "https://pronto.by/catalog/product/531-104.html")</f>
        <v>https://pronto.by/catalog/product/531-104.html</v>
      </c>
    </row>
    <row r="576" spans="1:14" customFormat="1" ht="82.8">
      <c r="A576" s="35" t="s">
        <v>1400</v>
      </c>
      <c r="B576" s="19" t="s">
        <v>1401</v>
      </c>
      <c r="C576" s="20" t="s">
        <v>1402</v>
      </c>
      <c r="D576" s="36" t="s">
        <v>28</v>
      </c>
      <c r="E576" s="37" t="s">
        <v>3280</v>
      </c>
      <c r="F576" s="43">
        <v>1809.72</v>
      </c>
      <c r="G576" s="100">
        <f t="shared" si="8"/>
        <v>1809.72</v>
      </c>
      <c r="H576" s="101"/>
      <c r="I576" s="100">
        <f>G576*H576</f>
        <v>0</v>
      </c>
      <c r="J576" s="39" t="s">
        <v>3336</v>
      </c>
      <c r="K576" s="40" t="s">
        <v>31</v>
      </c>
      <c r="L576" s="41"/>
      <c r="M576" s="42" t="str">
        <f>HYPERLINK("https://catalog.onliner.by/xmaslights/neonnight/nn531106", "https://catalog.onliner.by/xmaslights/neonnight/nn531106")</f>
        <v>https://catalog.onliner.by/xmaslights/neonnight/nn531106</v>
      </c>
      <c r="N576" s="42" t="str">
        <f>HYPERLINK("https://pronto.by/catalog/product/531-106.html", "https://pronto.by/catalog/product/531-106.html")</f>
        <v>https://pronto.by/catalog/product/531-106.html</v>
      </c>
    </row>
    <row r="577" spans="1:14" customFormat="1" ht="69">
      <c r="A577" s="35" t="s">
        <v>1403</v>
      </c>
      <c r="B577" s="19" t="s">
        <v>1404</v>
      </c>
      <c r="C577" s="20" t="s">
        <v>1405</v>
      </c>
      <c r="D577" s="36" t="s">
        <v>28</v>
      </c>
      <c r="E577" s="37" t="s">
        <v>3280</v>
      </c>
      <c r="F577" s="43">
        <v>1809.72</v>
      </c>
      <c r="G577" s="100">
        <f t="shared" si="8"/>
        <v>1809.72</v>
      </c>
      <c r="H577" s="101"/>
      <c r="I577" s="100">
        <f>G577*H577</f>
        <v>0</v>
      </c>
      <c r="J577" s="39" t="s">
        <v>3336</v>
      </c>
      <c r="K577" s="40" t="s">
        <v>1391</v>
      </c>
      <c r="L577" s="41"/>
      <c r="M577" s="42" t="str">
        <f>HYPERLINK("https://catalog.onliner.by/xmaslights/neonnight/nn531101", "https://catalog.onliner.by/xmaslights/neonnight/nn531101")</f>
        <v>https://catalog.onliner.by/xmaslights/neonnight/nn531101</v>
      </c>
      <c r="N577" s="42" t="str">
        <f>HYPERLINK("https://pronto.by/catalog/product/531-101.html", "https://pronto.by/catalog/product/531-101.html")</f>
        <v>https://pronto.by/catalog/product/531-101.html</v>
      </c>
    </row>
    <row r="578" spans="1:14" customFormat="1" ht="69">
      <c r="A578" s="35" t="s">
        <v>1406</v>
      </c>
      <c r="B578" s="19" t="s">
        <v>1407</v>
      </c>
      <c r="C578" s="20" t="s">
        <v>1408</v>
      </c>
      <c r="D578" s="36" t="s">
        <v>28</v>
      </c>
      <c r="E578" s="37" t="s">
        <v>3280</v>
      </c>
      <c r="F578" s="43">
        <v>3418.0200000000004</v>
      </c>
      <c r="G578" s="100">
        <f t="shared" si="8"/>
        <v>3418.02</v>
      </c>
      <c r="H578" s="101"/>
      <c r="I578" s="100">
        <f>G578*H578</f>
        <v>0</v>
      </c>
      <c r="J578" s="39" t="s">
        <v>3336</v>
      </c>
      <c r="K578" s="40" t="s">
        <v>31</v>
      </c>
      <c r="L578" s="41"/>
      <c r="M578" s="42" t="str">
        <f>HYPERLINK("https://catalog.onliner.by/xmaslights/neonnight/nn531125", "https://catalog.onliner.by/xmaslights/neonnight/nn531125")</f>
        <v>https://catalog.onliner.by/xmaslights/neonnight/nn531125</v>
      </c>
      <c r="N578" s="42" t="str">
        <f>HYPERLINK("https://pronto.by/catalog/product/531-125.html", "https://pronto.by/catalog/product/531-125.html")</f>
        <v>https://pronto.by/catalog/product/531-125.html</v>
      </c>
    </row>
    <row r="579" spans="1:14" customFormat="1" ht="71.400000000000006">
      <c r="A579" s="35" t="s">
        <v>1409</v>
      </c>
      <c r="B579" s="19" t="s">
        <v>1410</v>
      </c>
      <c r="C579" s="20" t="s">
        <v>1411</v>
      </c>
      <c r="D579" s="36" t="s">
        <v>28</v>
      </c>
      <c r="E579" s="37" t="s">
        <v>3280</v>
      </c>
      <c r="F579" s="43">
        <v>2911.5</v>
      </c>
      <c r="G579" s="100">
        <f t="shared" si="8"/>
        <v>2911.5</v>
      </c>
      <c r="H579" s="101"/>
      <c r="I579" s="100">
        <f>G579*H579</f>
        <v>0</v>
      </c>
      <c r="J579" s="39" t="s">
        <v>3336</v>
      </c>
      <c r="K579" s="40" t="s">
        <v>41</v>
      </c>
      <c r="L579" s="41"/>
      <c r="M579" s="42" t="str">
        <f>HYPERLINK("https://catalog.onliner.by/xmaslights/neonnight/neon531128", "https://catalog.onliner.by/xmaslights/neonnight/neon531128")</f>
        <v>https://catalog.onliner.by/xmaslights/neonnight/neon531128</v>
      </c>
      <c r="N579" s="42" t="str">
        <f>HYPERLINK("https://pronto.by/catalog/prazdnichnaya-svetotehnika/outdoor-konechnye-potrebiteli-i-malyy-biznes/derevya/531-128.html", "https://pronto.by/catalog/prazdnichnaya-svetotehnika/outdoor-konechnye-potrebiteli-i-malyy-biznes/derevya/531-128.html")</f>
        <v>https://pronto.by/catalog/prazdnichnaya-svetotehnika/outdoor-konechnye-potrebiteli-i-malyy-biznes/derevya/531-128.html</v>
      </c>
    </row>
    <row r="580" spans="1:14" customFormat="1" ht="69">
      <c r="A580" s="35" t="s">
        <v>1412</v>
      </c>
      <c r="B580" s="19" t="s">
        <v>1413</v>
      </c>
      <c r="C580" s="20" t="s">
        <v>1414</v>
      </c>
      <c r="D580" s="36" t="s">
        <v>28</v>
      </c>
      <c r="E580" s="37" t="s">
        <v>3280</v>
      </c>
      <c r="F580" s="43">
        <v>3143.58</v>
      </c>
      <c r="G580" s="100">
        <f t="shared" si="8"/>
        <v>3143.58</v>
      </c>
      <c r="H580" s="101"/>
      <c r="I580" s="100">
        <f>G580*H580</f>
        <v>0</v>
      </c>
      <c r="J580" s="39" t="s">
        <v>3336</v>
      </c>
      <c r="K580" s="40" t="s">
        <v>31</v>
      </c>
      <c r="L580" s="41"/>
      <c r="M580" s="42" t="str">
        <f>HYPERLINK("https://catalog.onliner.by/xmaslights/neonnight/nn531123", "https://catalog.onliner.by/xmaslights/neonnight/nn531123")</f>
        <v>https://catalog.onliner.by/xmaslights/neonnight/nn531123</v>
      </c>
      <c r="N580" s="42" t="str">
        <f>HYPERLINK("https://pronto.by/catalog/product/531-123.html", "https://pronto.by/catalog/product/531-123.html")</f>
        <v>https://pronto.by/catalog/product/531-123.html</v>
      </c>
    </row>
    <row r="581" spans="1:14" customFormat="1" ht="69">
      <c r="A581" s="35" t="s">
        <v>1415</v>
      </c>
      <c r="B581" s="19" t="s">
        <v>1416</v>
      </c>
      <c r="C581" s="20" t="s">
        <v>1417</v>
      </c>
      <c r="D581" s="36" t="s">
        <v>28</v>
      </c>
      <c r="E581" s="37" t="s">
        <v>3280</v>
      </c>
      <c r="F581" s="43">
        <v>3143.58</v>
      </c>
      <c r="G581" s="100">
        <f t="shared" si="8"/>
        <v>3143.58</v>
      </c>
      <c r="H581" s="101"/>
      <c r="I581" s="100">
        <f>G581*H581</f>
        <v>0</v>
      </c>
      <c r="J581" s="39" t="s">
        <v>3336</v>
      </c>
      <c r="K581" s="40" t="s">
        <v>31</v>
      </c>
      <c r="L581" s="41"/>
      <c r="M581" s="42" t="str">
        <f>HYPERLINK("https://catalog.onliner.by/xmaslights/neonnight/nn531126", "https://catalog.onliner.by/xmaslights/neonnight/nn531126")</f>
        <v>https://catalog.onliner.by/xmaslights/neonnight/nn531126</v>
      </c>
      <c r="N581" s="42" t="str">
        <f>HYPERLINK("https://pronto.by/catalog/product/531-126.html", "https://pronto.by/catalog/product/531-126.html")</f>
        <v>https://pronto.by/catalog/product/531-126.html</v>
      </c>
    </row>
    <row r="582" spans="1:14" customFormat="1" ht="82.8">
      <c r="A582" s="35" t="s">
        <v>3633</v>
      </c>
      <c r="B582" s="19" t="s">
        <v>3634</v>
      </c>
      <c r="C582" s="20" t="s">
        <v>3635</v>
      </c>
      <c r="D582" s="36" t="s">
        <v>28</v>
      </c>
      <c r="E582" s="37" t="s">
        <v>3280</v>
      </c>
      <c r="F582" s="43">
        <v>9007.32</v>
      </c>
      <c r="G582" s="100">
        <f t="shared" si="8"/>
        <v>9007.32</v>
      </c>
      <c r="H582" s="101"/>
      <c r="I582" s="100">
        <f>G582*H582</f>
        <v>0</v>
      </c>
      <c r="J582" s="39" t="s">
        <v>3336</v>
      </c>
      <c r="K582" s="40" t="s">
        <v>31</v>
      </c>
      <c r="L582" s="41"/>
      <c r="M582" s="42" t="str">
        <f>HYPERLINK("https://catalog.onliner.by/xmaslights/neonnight/nn531232", "https://catalog.onliner.by/xmaslights/neonnight/nn531232")</f>
        <v>https://catalog.onliner.by/xmaslights/neonnight/nn531232</v>
      </c>
      <c r="N582" s="42" t="str">
        <f>HYPERLINK("https://pronto.by/catalog/product/531-232.html", "https://pronto.by/catalog/product/531-232.html")</f>
        <v>https://pronto.by/catalog/product/531-232.html</v>
      </c>
    </row>
    <row r="583" spans="1:14" customFormat="1" ht="69">
      <c r="A583" s="35" t="s">
        <v>3636</v>
      </c>
      <c r="B583" s="19" t="s">
        <v>3637</v>
      </c>
      <c r="C583" s="20" t="s">
        <v>3638</v>
      </c>
      <c r="D583" s="36" t="s">
        <v>28</v>
      </c>
      <c r="E583" s="37" t="s">
        <v>3280</v>
      </c>
      <c r="F583" s="43">
        <v>9007.32</v>
      </c>
      <c r="G583" s="100">
        <f t="shared" si="8"/>
        <v>9007.32</v>
      </c>
      <c r="H583" s="101"/>
      <c r="I583" s="100">
        <f>G583*H583</f>
        <v>0</v>
      </c>
      <c r="J583" s="39" t="s">
        <v>3336</v>
      </c>
      <c r="K583" s="40" t="s">
        <v>31</v>
      </c>
      <c r="L583" s="41"/>
      <c r="M583" s="42" t="str">
        <f>HYPERLINK("https://catalog.onliner.by/xmaslights/neonnight/nn531233", "https://catalog.onliner.by/xmaslights/neonnight/nn531233")</f>
        <v>https://catalog.onliner.by/xmaslights/neonnight/nn531233</v>
      </c>
      <c r="N583" s="42" t="str">
        <f>HYPERLINK("https://pronto.by/catalog/product/531-233.html", "https://pronto.by/catalog/product/531-233.html")</f>
        <v>https://pronto.by/catalog/product/531-233.html</v>
      </c>
    </row>
    <row r="584" spans="1:14" customFormat="1" ht="15.6">
      <c r="A584" s="80" t="s">
        <v>3639</v>
      </c>
      <c r="B584" s="67"/>
      <c r="C584" s="67"/>
      <c r="D584" s="32"/>
      <c r="E584" s="32"/>
      <c r="F584" s="32"/>
      <c r="G584" s="52"/>
      <c r="H584" s="52"/>
      <c r="I584" s="52"/>
      <c r="J584" s="32"/>
      <c r="K584" s="32"/>
      <c r="L584" s="33"/>
      <c r="M584" s="33"/>
      <c r="N584" s="34"/>
    </row>
    <row r="585" spans="1:14" customFormat="1" ht="69">
      <c r="A585" s="35" t="s">
        <v>1418</v>
      </c>
      <c r="B585" s="19" t="s">
        <v>1419</v>
      </c>
      <c r="C585" s="20" t="s">
        <v>1420</v>
      </c>
      <c r="D585" s="36" t="s">
        <v>28</v>
      </c>
      <c r="E585" s="37" t="s">
        <v>3280</v>
      </c>
      <c r="F585" s="43">
        <v>790.56000000000006</v>
      </c>
      <c r="G585" s="100">
        <f t="shared" si="8"/>
        <v>790.56</v>
      </c>
      <c r="H585" s="101"/>
      <c r="I585" s="100">
        <f>G585*H585</f>
        <v>0</v>
      </c>
      <c r="J585" s="39" t="s">
        <v>3336</v>
      </c>
      <c r="K585" s="40" t="s">
        <v>31</v>
      </c>
      <c r="L585" s="41"/>
      <c r="M585" s="42" t="str">
        <f>HYPERLINK("https://catalog.onliner.by/xmaslights/neonnight/nn513240", "https://catalog.onliner.by/xmaslights/neonnight/nn513240")</f>
        <v>https://catalog.onliner.by/xmaslights/neonnight/nn513240</v>
      </c>
      <c r="N585" s="44"/>
    </row>
    <row r="586" spans="1:14" customFormat="1" ht="69">
      <c r="A586" s="35" t="s">
        <v>1421</v>
      </c>
      <c r="B586" s="19" t="s">
        <v>1422</v>
      </c>
      <c r="C586" s="20" t="s">
        <v>1423</v>
      </c>
      <c r="D586" s="36" t="s">
        <v>28</v>
      </c>
      <c r="E586" s="37" t="s">
        <v>3285</v>
      </c>
      <c r="F586" s="43">
        <v>598.44000000000005</v>
      </c>
      <c r="G586" s="100">
        <f t="shared" si="8"/>
        <v>598.44000000000005</v>
      </c>
      <c r="H586" s="101"/>
      <c r="I586" s="100">
        <f>G586*H586</f>
        <v>0</v>
      </c>
      <c r="J586" s="39" t="s">
        <v>3336</v>
      </c>
      <c r="K586" s="40" t="s">
        <v>31</v>
      </c>
      <c r="L586" s="41"/>
      <c r="M586" s="42" t="str">
        <f>HYPERLINK("https://catalog.onliner.by/xmaslights/neonnight/nn513267", "https://catalog.onliner.by/xmaslights/neonnight/nn513267")</f>
        <v>https://catalog.onliner.by/xmaslights/neonnight/nn513267</v>
      </c>
      <c r="N586" s="42" t="str">
        <f>HYPERLINK("https://pronto.by/catalog/product/513-267.html", "https://pronto.by/catalog/product/513-267.html")</f>
        <v>https://pronto.by/catalog/product/513-267.html</v>
      </c>
    </row>
    <row r="587" spans="1:14" customFormat="1" ht="61.2">
      <c r="A587" s="35" t="s">
        <v>1424</v>
      </c>
      <c r="B587" s="19" t="s">
        <v>1425</v>
      </c>
      <c r="C587" s="20" t="s">
        <v>1426</v>
      </c>
      <c r="D587" s="36" t="s">
        <v>28</v>
      </c>
      <c r="E587" s="37" t="s">
        <v>3280</v>
      </c>
      <c r="F587" s="43">
        <v>844.98000000000013</v>
      </c>
      <c r="G587" s="100">
        <f t="shared" si="8"/>
        <v>844.98</v>
      </c>
      <c r="H587" s="101"/>
      <c r="I587" s="100">
        <f>G587*H587</f>
        <v>0</v>
      </c>
      <c r="J587" s="39" t="s">
        <v>3336</v>
      </c>
      <c r="K587" s="40" t="s">
        <v>31</v>
      </c>
      <c r="L587" s="41"/>
      <c r="M587" s="42" t="str">
        <f>HYPERLINK("https://catalog.onliner.by/xmaslights/neonnight/neon513280", "https://catalog.onliner.by/xmaslights/neonnight/neon513280")</f>
        <v>https://catalog.onliner.by/xmaslights/neonnight/neon513280</v>
      </c>
      <c r="N587" s="42" t="str">
        <f>HYPERLINK("https://pronto.by/catalog/prazdnichnaya-svetotehnika/outdoor-konechnye-potrebiteli-i-malyy-biznes/naduvnye-figury/513-280.html", "https://pronto.by/catalog/prazdnichnaya-svetotehnika/outdoor-konechnye-potrebiteli-i-malyy-biznes/naduvnye-figury/513-280.html")</f>
        <v>https://pronto.by/catalog/prazdnichnaya-svetotehnika/outdoor-konechnye-potrebiteli-i-malyy-biznes/naduvnye-figury/513-280.html</v>
      </c>
    </row>
    <row r="588" spans="1:14" customFormat="1" ht="69">
      <c r="A588" s="35" t="s">
        <v>3640</v>
      </c>
      <c r="B588" s="19" t="s">
        <v>3641</v>
      </c>
      <c r="C588" s="20" t="s">
        <v>3642</v>
      </c>
      <c r="D588" s="36" t="s">
        <v>28</v>
      </c>
      <c r="E588" s="37" t="s">
        <v>3280</v>
      </c>
      <c r="F588" s="43">
        <v>844.98000000000013</v>
      </c>
      <c r="G588" s="100">
        <f t="shared" si="8"/>
        <v>844.98</v>
      </c>
      <c r="H588" s="101"/>
      <c r="I588" s="100">
        <f>G588*H588</f>
        <v>0</v>
      </c>
      <c r="J588" s="39" t="s">
        <v>3336</v>
      </c>
      <c r="K588" s="40" t="s">
        <v>31</v>
      </c>
      <c r="L588" s="41"/>
      <c r="M588" s="42" t="str">
        <f>HYPERLINK("https://catalog.onliner.by/xmaslights/neonnight/nn513281", "https://catalog.onliner.by/xmaslights/neonnight/nn513281")</f>
        <v>https://catalog.onliner.by/xmaslights/neonnight/nn513281</v>
      </c>
      <c r="N588" s="42" t="str">
        <f>HYPERLINK("https://pronto.by/catalog/product/513-281.html", "https://pronto.by/catalog/product/513-281.html")</f>
        <v>https://pronto.by/catalog/product/513-281.html</v>
      </c>
    </row>
    <row r="589" spans="1:14" customFormat="1" ht="69">
      <c r="A589" s="35" t="s">
        <v>1427</v>
      </c>
      <c r="B589" s="19" t="s">
        <v>1428</v>
      </c>
      <c r="C589" s="20" t="s">
        <v>1429</v>
      </c>
      <c r="D589" s="36" t="s">
        <v>28</v>
      </c>
      <c r="E589" s="37" t="s">
        <v>3280</v>
      </c>
      <c r="F589" s="43">
        <v>850.2600000000001</v>
      </c>
      <c r="G589" s="100">
        <f t="shared" si="8"/>
        <v>850.26</v>
      </c>
      <c r="H589" s="101"/>
      <c r="I589" s="100">
        <f>G589*H589</f>
        <v>0</v>
      </c>
      <c r="J589" s="39" t="s">
        <v>3336</v>
      </c>
      <c r="K589" s="40" t="s">
        <v>31</v>
      </c>
      <c r="L589" s="41"/>
      <c r="M589" s="42" t="str">
        <f>HYPERLINK("https://catalog.onliner.by/xmaslights/neonnight/neon513285", "https://catalog.onliner.by/xmaslights/neonnight/neon513285")</f>
        <v>https://catalog.onliner.by/xmaslights/neonnight/neon513285</v>
      </c>
      <c r="N589" s="42" t="str">
        <f>HYPERLINK("https://pronto.by/catalog/prazdnichnaya-svetotehnika/outdoor-konechnye-potrebiteli-i-malyy-biznes/naduvnye-figury/513-285.html", "https://pronto.by/catalog/prazdnichnaya-svetotehnika/outdoor-konechnye-potrebiteli-i-malyy-biznes/naduvnye-figury/513-285.html")</f>
        <v>https://pronto.by/catalog/prazdnichnaya-svetotehnika/outdoor-konechnye-potrebiteli-i-malyy-biznes/naduvnye-figury/513-285.html</v>
      </c>
    </row>
    <row r="590" spans="1:14" customFormat="1" ht="69">
      <c r="A590" s="35" t="s">
        <v>1430</v>
      </c>
      <c r="B590" s="19" t="s">
        <v>1431</v>
      </c>
      <c r="C590" s="20" t="s">
        <v>1432</v>
      </c>
      <c r="D590" s="36" t="s">
        <v>28</v>
      </c>
      <c r="E590" s="37" t="s">
        <v>3285</v>
      </c>
      <c r="F590" s="43">
        <v>365.7</v>
      </c>
      <c r="G590" s="100">
        <f t="shared" si="8"/>
        <v>365.7</v>
      </c>
      <c r="H590" s="101"/>
      <c r="I590" s="100">
        <f>G590*H590</f>
        <v>0</v>
      </c>
      <c r="J590" s="39" t="s">
        <v>3336</v>
      </c>
      <c r="K590" s="40" t="s">
        <v>31</v>
      </c>
      <c r="L590" s="41"/>
      <c r="M590" s="42" t="str">
        <f>HYPERLINK("https://catalog.onliner.by/xmaslights/neonnight/nn513283", "https://catalog.onliner.by/xmaslights/neonnight/nn513283")</f>
        <v>https://catalog.onliner.by/xmaslights/neonnight/nn513283</v>
      </c>
      <c r="N590" s="42" t="str">
        <f>HYPERLINK("https://pronto.by/catalog/product/513-283.html", "https://pronto.by/catalog/product/513-283.html")</f>
        <v>https://pronto.by/catalog/product/513-283.html</v>
      </c>
    </row>
    <row r="591" spans="1:14" customFormat="1" ht="69">
      <c r="A591" s="35" t="s">
        <v>1433</v>
      </c>
      <c r="B591" s="19" t="s">
        <v>1434</v>
      </c>
      <c r="C591" s="20" t="s">
        <v>1435</v>
      </c>
      <c r="D591" s="36" t="s">
        <v>28</v>
      </c>
      <c r="E591" s="37" t="s">
        <v>3280</v>
      </c>
      <c r="F591" s="43">
        <v>574.68000000000006</v>
      </c>
      <c r="G591" s="100">
        <f t="shared" ref="G591:G654" si="9">ROUND(F591-F591*G$3,2)</f>
        <v>574.67999999999995</v>
      </c>
      <c r="H591" s="101"/>
      <c r="I591" s="100">
        <f>G591*H591</f>
        <v>0</v>
      </c>
      <c r="J591" s="39" t="s">
        <v>3336</v>
      </c>
      <c r="K591" s="40" t="s">
        <v>31</v>
      </c>
      <c r="L591" s="41"/>
      <c r="M591" s="42" t="str">
        <f>HYPERLINK("https://catalog.onliner.by/xmaslights/neonnight/nn513282", "https://catalog.onliner.by/xmaslights/neonnight/nn513282")</f>
        <v>https://catalog.onliner.by/xmaslights/neonnight/nn513282</v>
      </c>
      <c r="N591" s="42" t="str">
        <f>HYPERLINK("https://pronto.by/catalog/product/513-282.html", "https://pronto.by/catalog/product/513-282.html")</f>
        <v>https://pronto.by/catalog/product/513-282.html</v>
      </c>
    </row>
    <row r="592" spans="1:14" customFormat="1" ht="15.6">
      <c r="A592" s="80" t="s">
        <v>3643</v>
      </c>
      <c r="B592" s="67"/>
      <c r="C592" s="67"/>
      <c r="D592" s="32"/>
      <c r="E592" s="32"/>
      <c r="F592" s="32"/>
      <c r="G592" s="52"/>
      <c r="H592" s="52"/>
      <c r="I592" s="52"/>
      <c r="J592" s="32"/>
      <c r="K592" s="32"/>
      <c r="L592" s="33"/>
      <c r="M592" s="33"/>
      <c r="N592" s="34"/>
    </row>
    <row r="593" spans="1:14" customFormat="1" ht="69">
      <c r="A593" s="35" t="s">
        <v>1436</v>
      </c>
      <c r="B593" s="19" t="s">
        <v>1437</v>
      </c>
      <c r="C593" s="20" t="s">
        <v>1438</v>
      </c>
      <c r="D593" s="36" t="s">
        <v>28</v>
      </c>
      <c r="E593" s="37" t="s">
        <v>3280</v>
      </c>
      <c r="F593" s="43">
        <v>510.72</v>
      </c>
      <c r="G593" s="100">
        <f t="shared" si="9"/>
        <v>510.72</v>
      </c>
      <c r="H593" s="101"/>
      <c r="I593" s="100">
        <f>G593*H593</f>
        <v>0</v>
      </c>
      <c r="J593" s="39" t="s">
        <v>3336</v>
      </c>
      <c r="K593" s="40" t="s">
        <v>31</v>
      </c>
      <c r="L593" s="41"/>
      <c r="M593" s="42" t="str">
        <f>HYPERLINK("https://catalog.onliner.by/xmaslights/neonnight/511055", "https://catalog.onliner.by/xmaslights/neonnight/511055")</f>
        <v>https://catalog.onliner.by/xmaslights/neonnight/511055</v>
      </c>
      <c r="N593" s="42" t="str">
        <f>HYPERLINK("https://pronto.by/catalog/prazdnichnaya-svetotehnika/outdoor-konechnye-potrebiteli-i-malyy-biznes/komplekty-dyuralayta/511-055.html", "https://pronto.by/catalog/prazdnichnaya-svetotehnika/outdoor-konechnye-potrebiteli-i-malyy-biznes/komplekty-dyuralayta/511-055.html")</f>
        <v>https://pronto.by/catalog/prazdnichnaya-svetotehnika/outdoor-konechnye-potrebiteli-i-malyy-biznes/komplekty-dyuralayta/511-055.html</v>
      </c>
    </row>
    <row r="594" spans="1:14" customFormat="1" ht="69">
      <c r="A594" s="35" t="s">
        <v>1439</v>
      </c>
      <c r="B594" s="19" t="s">
        <v>1440</v>
      </c>
      <c r="C594" s="20" t="s">
        <v>1441</v>
      </c>
      <c r="D594" s="36" t="s">
        <v>28</v>
      </c>
      <c r="E594" s="37" t="s">
        <v>3292</v>
      </c>
      <c r="F594" s="43">
        <v>268.08</v>
      </c>
      <c r="G594" s="100">
        <f t="shared" si="9"/>
        <v>268.08</v>
      </c>
      <c r="H594" s="101"/>
      <c r="I594" s="100">
        <f>G594*H594</f>
        <v>0</v>
      </c>
      <c r="J594" s="39" t="s">
        <v>3336</v>
      </c>
      <c r="K594" s="40" t="s">
        <v>31</v>
      </c>
      <c r="L594" s="41"/>
      <c r="M594" s="42" t="str">
        <f>HYPERLINK("https://catalog.onliner.by/xmaslights/neonnight/nn511114", "https://catalog.onliner.by/xmaslights/neonnight/nn511114")</f>
        <v>https://catalog.onliner.by/xmaslights/neonnight/nn511114</v>
      </c>
      <c r="N594" s="42" t="str">
        <f>HYPERLINK("https://pronto.by/catalog/product/511-114.html", "https://pronto.by/catalog/product/511-114.html")</f>
        <v>https://pronto.by/catalog/product/511-114.html</v>
      </c>
    </row>
    <row r="595" spans="1:14" customFormat="1" ht="69">
      <c r="A595" s="35" t="s">
        <v>1442</v>
      </c>
      <c r="B595" s="19" t="s">
        <v>1443</v>
      </c>
      <c r="C595" s="20" t="s">
        <v>1444</v>
      </c>
      <c r="D595" s="36" t="s">
        <v>28</v>
      </c>
      <c r="E595" s="37" t="s">
        <v>3292</v>
      </c>
      <c r="F595" s="43">
        <v>339.53999999999996</v>
      </c>
      <c r="G595" s="100">
        <f t="shared" si="9"/>
        <v>339.54</v>
      </c>
      <c r="H595" s="101"/>
      <c r="I595" s="100">
        <f>G595*H595</f>
        <v>0</v>
      </c>
      <c r="J595" s="39" t="s">
        <v>3336</v>
      </c>
      <c r="K595" s="40" t="s">
        <v>31</v>
      </c>
      <c r="L595" s="41"/>
      <c r="M595" s="42" t="str">
        <f>HYPERLINK("https://catalog.onliner.by/xmaslights/neonnight/nn511122", "https://catalog.onliner.by/xmaslights/neonnight/nn511122")</f>
        <v>https://catalog.onliner.by/xmaslights/neonnight/nn511122</v>
      </c>
      <c r="N595" s="42" t="str">
        <f>HYPERLINK("https://pronto.by/catalog/product/511-122.html", "https://pronto.by/catalog/product/511-122.html")</f>
        <v>https://pronto.by/catalog/product/511-122.html</v>
      </c>
    </row>
    <row r="596" spans="1:14" customFormat="1" ht="69">
      <c r="A596" s="35" t="s">
        <v>1445</v>
      </c>
      <c r="B596" s="19" t="s">
        <v>1446</v>
      </c>
      <c r="C596" s="20" t="s">
        <v>1447</v>
      </c>
      <c r="D596" s="36" t="s">
        <v>28</v>
      </c>
      <c r="E596" s="37" t="s">
        <v>3307</v>
      </c>
      <c r="F596" s="43">
        <v>459.66</v>
      </c>
      <c r="G596" s="100">
        <f t="shared" si="9"/>
        <v>459.66</v>
      </c>
      <c r="H596" s="101"/>
      <c r="I596" s="100">
        <f>G596*H596</f>
        <v>0</v>
      </c>
      <c r="J596" s="39" t="s">
        <v>3336</v>
      </c>
      <c r="K596" s="40" t="s">
        <v>31</v>
      </c>
      <c r="L596" s="41"/>
      <c r="M596" s="42" t="str">
        <f>HYPERLINK("https://catalog.onliner.by/xmaslights/neonnight/511056", "https://catalog.onliner.by/xmaslights/neonnight/511056")</f>
        <v>https://catalog.onliner.by/xmaslights/neonnight/511056</v>
      </c>
      <c r="N596" s="42" t="str">
        <f>HYPERLINK("https://pronto.by/catalog/prazdnichnaya-svetotehnika/outdoor-konechnye-potrebiteli-i-malyy-biznes/komplekty-dyuralayta/511-056.html", "https://pronto.by/catalog/prazdnichnaya-svetotehnika/outdoor-konechnye-potrebiteli-i-malyy-biznes/komplekty-dyuralayta/511-056.html")</f>
        <v>https://pronto.by/catalog/prazdnichnaya-svetotehnika/outdoor-konechnye-potrebiteli-i-malyy-biznes/komplekty-dyuralayta/511-056.html</v>
      </c>
    </row>
    <row r="597" spans="1:14" customFormat="1" ht="15.6">
      <c r="A597" s="80" t="s">
        <v>3644</v>
      </c>
      <c r="B597" s="67"/>
      <c r="C597" s="67"/>
      <c r="D597" s="32"/>
      <c r="E597" s="32"/>
      <c r="F597" s="32"/>
      <c r="G597" s="52"/>
      <c r="H597" s="52"/>
      <c r="I597" s="52"/>
      <c r="J597" s="32"/>
      <c r="K597" s="32"/>
      <c r="L597" s="33"/>
      <c r="M597" s="33"/>
      <c r="N597" s="34"/>
    </row>
    <row r="598" spans="1:14" customFormat="1" ht="55.2">
      <c r="A598" s="53" t="s">
        <v>3645</v>
      </c>
      <c r="B598" s="19" t="s">
        <v>3646</v>
      </c>
      <c r="C598" s="20" t="s">
        <v>3647</v>
      </c>
      <c r="D598" s="36" t="s">
        <v>28</v>
      </c>
      <c r="E598" s="37"/>
      <c r="F598" s="43">
        <v>503.52</v>
      </c>
      <c r="G598" s="100">
        <f t="shared" si="9"/>
        <v>503.52</v>
      </c>
      <c r="H598" s="101"/>
      <c r="I598" s="100">
        <f>G598*H598</f>
        <v>0</v>
      </c>
      <c r="J598" s="39" t="s">
        <v>3336</v>
      </c>
      <c r="K598" s="40"/>
      <c r="L598" s="41"/>
      <c r="M598" s="44"/>
      <c r="N598" s="44"/>
    </row>
    <row r="599" spans="1:14" customFormat="1" ht="55.2">
      <c r="A599" s="53" t="s">
        <v>3648</v>
      </c>
      <c r="B599" s="19" t="s">
        <v>3649</v>
      </c>
      <c r="C599" s="20" t="s">
        <v>3650</v>
      </c>
      <c r="D599" s="36" t="s">
        <v>28</v>
      </c>
      <c r="E599" s="37"/>
      <c r="F599" s="43">
        <v>839.46</v>
      </c>
      <c r="G599" s="100">
        <f t="shared" si="9"/>
        <v>839.46</v>
      </c>
      <c r="H599" s="101"/>
      <c r="I599" s="100">
        <f>G599*H599</f>
        <v>0</v>
      </c>
      <c r="J599" s="39" t="s">
        <v>3336</v>
      </c>
      <c r="K599" s="40"/>
      <c r="L599" s="41"/>
      <c r="M599" s="44"/>
      <c r="N599" s="44"/>
    </row>
    <row r="600" spans="1:14" customFormat="1" ht="55.2">
      <c r="A600" s="53" t="s">
        <v>3651</v>
      </c>
      <c r="B600" s="19" t="s">
        <v>3652</v>
      </c>
      <c r="C600" s="20" t="s">
        <v>3653</v>
      </c>
      <c r="D600" s="36" t="s">
        <v>28</v>
      </c>
      <c r="E600" s="37"/>
      <c r="F600" s="43">
        <v>1007.4</v>
      </c>
      <c r="G600" s="100">
        <f t="shared" si="9"/>
        <v>1007.4</v>
      </c>
      <c r="H600" s="101"/>
      <c r="I600" s="100">
        <f>G600*H600</f>
        <v>0</v>
      </c>
      <c r="J600" s="39" t="s">
        <v>3336</v>
      </c>
      <c r="K600" s="40"/>
      <c r="L600" s="41"/>
      <c r="M600" s="44"/>
      <c r="N600" s="44"/>
    </row>
    <row r="601" spans="1:14" customFormat="1" ht="55.2">
      <c r="A601" s="53" t="s">
        <v>3654</v>
      </c>
      <c r="B601" s="19" t="s">
        <v>3655</v>
      </c>
      <c r="C601" s="20" t="s">
        <v>3656</v>
      </c>
      <c r="D601" s="36" t="s">
        <v>28</v>
      </c>
      <c r="E601" s="37"/>
      <c r="F601" s="43">
        <v>402.78000000000003</v>
      </c>
      <c r="G601" s="100">
        <f t="shared" si="9"/>
        <v>402.78</v>
      </c>
      <c r="H601" s="101"/>
      <c r="I601" s="100">
        <f>G601*H601</f>
        <v>0</v>
      </c>
      <c r="J601" s="39" t="s">
        <v>3336</v>
      </c>
      <c r="K601" s="40"/>
      <c r="L601" s="41"/>
      <c r="M601" s="44"/>
      <c r="N601" s="44"/>
    </row>
    <row r="602" spans="1:14" customFormat="1" ht="30" customHeight="1">
      <c r="A602" s="82" t="s">
        <v>3657</v>
      </c>
      <c r="B602" s="67"/>
      <c r="C602" s="67"/>
      <c r="D602" s="32"/>
      <c r="E602" s="32"/>
      <c r="F602" s="32"/>
      <c r="G602" s="52"/>
      <c r="H602" s="52"/>
      <c r="I602" s="52"/>
      <c r="J602" s="32"/>
      <c r="K602" s="32"/>
      <c r="L602" s="33"/>
      <c r="M602" s="33"/>
      <c r="N602" s="34"/>
    </row>
    <row r="603" spans="1:14" customFormat="1" ht="30" customHeight="1">
      <c r="A603" s="80" t="s">
        <v>3658</v>
      </c>
      <c r="B603" s="67"/>
      <c r="C603" s="67"/>
      <c r="D603" s="32"/>
      <c r="E603" s="32"/>
      <c r="F603" s="32"/>
      <c r="G603" s="52"/>
      <c r="H603" s="52"/>
      <c r="I603" s="52"/>
      <c r="J603" s="32"/>
      <c r="K603" s="32"/>
      <c r="L603" s="33"/>
      <c r="M603" s="33"/>
      <c r="N603" s="34"/>
    </row>
    <row r="604" spans="1:14" customFormat="1" ht="87.75" customHeight="1">
      <c r="A604" s="80" t="s">
        <v>3659</v>
      </c>
      <c r="B604" s="67"/>
      <c r="C604" s="67"/>
      <c r="D604" s="32"/>
      <c r="E604" s="32"/>
      <c r="F604" s="32"/>
      <c r="G604" s="52"/>
      <c r="H604" s="52"/>
      <c r="I604" s="52"/>
      <c r="J604" s="32"/>
      <c r="K604" s="32"/>
      <c r="L604" s="33"/>
      <c r="M604" s="33"/>
      <c r="N604" s="34"/>
    </row>
    <row r="605" spans="1:14" customFormat="1" ht="82.8">
      <c r="A605" s="35" t="s">
        <v>3660</v>
      </c>
      <c r="B605" s="19" t="s">
        <v>3661</v>
      </c>
      <c r="C605" s="20" t="s">
        <v>3662</v>
      </c>
      <c r="D605" s="36" t="s">
        <v>30</v>
      </c>
      <c r="E605" s="37" t="s">
        <v>3293</v>
      </c>
      <c r="F605" s="43">
        <v>10.440000000000001</v>
      </c>
      <c r="G605" s="100">
        <f t="shared" si="9"/>
        <v>10.44</v>
      </c>
      <c r="H605" s="101"/>
      <c r="I605" s="100">
        <f>G605*H605</f>
        <v>0</v>
      </c>
      <c r="J605" s="39" t="s">
        <v>3336</v>
      </c>
      <c r="K605" s="40" t="s">
        <v>31</v>
      </c>
      <c r="L605" s="41"/>
      <c r="M605" s="42" t="str">
        <f>HYPERLINK("https://catalog.onliner.by/ledstrip/neonnight/1211253", "https://catalog.onliner.by/ledstrip/neonnight/1211253")</f>
        <v>https://catalog.onliner.by/ledstrip/neonnight/1211253</v>
      </c>
      <c r="N605" s="42" t="str">
        <f>HYPERLINK("https://pronto.by/catalog/product/121-125-3.html", "https://pronto.by/catalog/product/121-125-3.html")</f>
        <v>https://pronto.by/catalog/product/121-125-3.html</v>
      </c>
    </row>
    <row r="606" spans="1:14" customFormat="1" ht="110.4">
      <c r="A606" s="35" t="s">
        <v>1448</v>
      </c>
      <c r="B606" s="19" t="s">
        <v>1449</v>
      </c>
      <c r="C606" s="20" t="s">
        <v>3663</v>
      </c>
      <c r="D606" s="36" t="s">
        <v>30</v>
      </c>
      <c r="E606" s="37" t="s">
        <v>3293</v>
      </c>
      <c r="F606" s="43">
        <v>14.76</v>
      </c>
      <c r="G606" s="100">
        <f t="shared" si="9"/>
        <v>14.76</v>
      </c>
      <c r="H606" s="101"/>
      <c r="I606" s="100">
        <f>G606*H606</f>
        <v>0</v>
      </c>
      <c r="J606" s="59" t="s">
        <v>3664</v>
      </c>
      <c r="K606" s="40" t="s">
        <v>41</v>
      </c>
      <c r="L606" s="41"/>
      <c r="M606" s="42" t="str">
        <f>HYPERLINK("https://catalog.onliner.by/ledstrip/neonnight/nn121125", "https://catalog.onliner.by/ledstrip/neonnight/nn121125")</f>
        <v>https://catalog.onliner.by/ledstrip/neonnight/nn121125</v>
      </c>
      <c r="N606" s="42" t="str">
        <f>HYPERLINK("https://pronto.by/catalog/product/121-125.html", "https://pronto.by/catalog/product/121-125.html")</f>
        <v>https://pronto.by/catalog/product/121-125.html</v>
      </c>
    </row>
    <row r="607" spans="1:14" customFormat="1" ht="69">
      <c r="A607" s="35" t="s">
        <v>1450</v>
      </c>
      <c r="B607" s="19" t="s">
        <v>1451</v>
      </c>
      <c r="C607" s="20" t="s">
        <v>3665</v>
      </c>
      <c r="D607" s="36" t="s">
        <v>30</v>
      </c>
      <c r="E607" s="37" t="s">
        <v>3293</v>
      </c>
      <c r="F607" s="43">
        <v>11.58</v>
      </c>
      <c r="G607" s="100">
        <f t="shared" si="9"/>
        <v>11.58</v>
      </c>
      <c r="H607" s="101"/>
      <c r="I607" s="100">
        <f>G607*H607</f>
        <v>0</v>
      </c>
      <c r="J607" s="39" t="s">
        <v>3336</v>
      </c>
      <c r="K607" s="40" t="s">
        <v>31</v>
      </c>
      <c r="L607" s="41"/>
      <c r="M607" s="42" t="str">
        <f>HYPERLINK("https://catalog.onliner.by/ledstrip/neonnight/1211254", "https://catalog.onliner.by/ledstrip/neonnight/1211254")</f>
        <v>https://catalog.onliner.by/ledstrip/neonnight/1211254</v>
      </c>
      <c r="N607" s="42" t="str">
        <f>HYPERLINK("https://pronto.by/catalog/product/121-125-4.html", "https://pronto.by/catalog/product/121-125-4.html")</f>
        <v>https://pronto.by/catalog/product/121-125-4.html</v>
      </c>
    </row>
    <row r="608" spans="1:14" customFormat="1" ht="82.8">
      <c r="A608" s="55" t="s">
        <v>3666</v>
      </c>
      <c r="B608" s="19" t="s">
        <v>3667</v>
      </c>
      <c r="C608" s="20" t="s">
        <v>3668</v>
      </c>
      <c r="D608" s="36" t="s">
        <v>30</v>
      </c>
      <c r="E608" s="37" t="s">
        <v>3293</v>
      </c>
      <c r="F608" s="43">
        <v>12.72</v>
      </c>
      <c r="G608" s="100">
        <f t="shared" si="9"/>
        <v>12.72</v>
      </c>
      <c r="H608" s="101"/>
      <c r="I608" s="100">
        <f>G608*H608</f>
        <v>0</v>
      </c>
      <c r="J608" s="39" t="s">
        <v>3336</v>
      </c>
      <c r="K608" s="40" t="s">
        <v>41</v>
      </c>
      <c r="L608" s="41"/>
      <c r="M608" s="42" t="str">
        <f>HYPERLINK("https://catalog.onliner.by/ledstrip/neonnight/nn1211256", "https://catalog.onliner.by/ledstrip/neonnight/nn1211256")</f>
        <v>https://catalog.onliner.by/ledstrip/neonnight/nn1211256</v>
      </c>
      <c r="N608" s="42" t="str">
        <f>HYPERLINK("https://pronto.by/catalog/product/121-125-6.html", "https://pronto.by/catalog/product/121-125-6.html")</f>
        <v>https://pronto.by/catalog/product/121-125-6.html</v>
      </c>
    </row>
    <row r="609" spans="1:14" customFormat="1" ht="69">
      <c r="A609" s="35" t="s">
        <v>1452</v>
      </c>
      <c r="B609" s="19" t="s">
        <v>1453</v>
      </c>
      <c r="C609" s="20" t="s">
        <v>3669</v>
      </c>
      <c r="D609" s="36" t="s">
        <v>30</v>
      </c>
      <c r="E609" s="37" t="s">
        <v>3293</v>
      </c>
      <c r="F609" s="43">
        <v>12.540000000000001</v>
      </c>
      <c r="G609" s="100">
        <f t="shared" si="9"/>
        <v>12.54</v>
      </c>
      <c r="H609" s="101"/>
      <c r="I609" s="100">
        <f>G609*H609</f>
        <v>0</v>
      </c>
      <c r="J609" s="39" t="s">
        <v>3336</v>
      </c>
      <c r="K609" s="40" t="s">
        <v>31</v>
      </c>
      <c r="L609" s="41"/>
      <c r="M609" s="42" t="str">
        <f>HYPERLINK("https://catalog.onliner.by/ledstrip/neonnight/nn1211216", "https://catalog.onliner.by/ledstrip/neonnight/nn1211216")</f>
        <v>https://catalog.onliner.by/ledstrip/neonnight/nn1211216</v>
      </c>
      <c r="N609" s="42" t="str">
        <f>HYPERLINK("https://pronto.by/catalog/product/121-121-6.html", "https://pronto.by/catalog/product/121-121-6.html")</f>
        <v>https://pronto.by/catalog/product/121-121-6.html</v>
      </c>
    </row>
    <row r="610" spans="1:14" customFormat="1" ht="110.4">
      <c r="A610" s="35" t="s">
        <v>1454</v>
      </c>
      <c r="B610" s="19" t="s">
        <v>1455</v>
      </c>
      <c r="C610" s="20" t="s">
        <v>3670</v>
      </c>
      <c r="D610" s="36" t="s">
        <v>30</v>
      </c>
      <c r="E610" s="37" t="s">
        <v>3293</v>
      </c>
      <c r="F610" s="43">
        <v>14.76</v>
      </c>
      <c r="G610" s="100">
        <f t="shared" si="9"/>
        <v>14.76</v>
      </c>
      <c r="H610" s="101"/>
      <c r="I610" s="100">
        <f>G610*H610</f>
        <v>0</v>
      </c>
      <c r="J610" s="59" t="s">
        <v>3664</v>
      </c>
      <c r="K610" s="40" t="s">
        <v>41</v>
      </c>
      <c r="L610" s="41"/>
      <c r="M610" s="42" t="str">
        <f>HYPERLINK("https://catalog.onliner.by/ledstrip/neonnight/nn121121", "https://catalog.onliner.by/ledstrip/neonnight/nn121121")</f>
        <v>https://catalog.onliner.by/ledstrip/neonnight/nn121121</v>
      </c>
      <c r="N610" s="42" t="str">
        <f>HYPERLINK("https://pronto.by/catalog/product/121-121.html", "https://pronto.by/catalog/product/121-121.html")</f>
        <v>https://pronto.by/catalog/product/121-121.html</v>
      </c>
    </row>
    <row r="611" spans="1:14" customFormat="1" ht="69">
      <c r="A611" s="35" t="s">
        <v>1456</v>
      </c>
      <c r="B611" s="19" t="s">
        <v>1457</v>
      </c>
      <c r="C611" s="20" t="s">
        <v>3671</v>
      </c>
      <c r="D611" s="36" t="s">
        <v>30</v>
      </c>
      <c r="E611" s="37" t="s">
        <v>3293</v>
      </c>
      <c r="F611" s="43">
        <v>11.1</v>
      </c>
      <c r="G611" s="100">
        <f t="shared" si="9"/>
        <v>11.1</v>
      </c>
      <c r="H611" s="101"/>
      <c r="I611" s="100">
        <f>G611*H611</f>
        <v>0</v>
      </c>
      <c r="J611" s="39" t="s">
        <v>3336</v>
      </c>
      <c r="K611" s="40" t="s">
        <v>41</v>
      </c>
      <c r="L611" s="41"/>
      <c r="M611" s="42" t="str">
        <f>HYPERLINK("https://catalog.onliner.by/ledstrip/neonnight/1211214", "https://catalog.onliner.by/ledstrip/neonnight/1211214")</f>
        <v>https://catalog.onliner.by/ledstrip/neonnight/1211214</v>
      </c>
      <c r="N611" s="42" t="str">
        <f>HYPERLINK("https://pronto.by/catalog/product/121-121-4.html", "https://pronto.by/catalog/product/121-121-4.html")</f>
        <v>https://pronto.by/catalog/product/121-121-4.html</v>
      </c>
    </row>
    <row r="612" spans="1:14" customFormat="1" ht="82.8">
      <c r="A612" s="35" t="s">
        <v>3672</v>
      </c>
      <c r="B612" s="19" t="s">
        <v>3673</v>
      </c>
      <c r="C612" s="20" t="s">
        <v>3674</v>
      </c>
      <c r="D612" s="36" t="s">
        <v>30</v>
      </c>
      <c r="E612" s="37" t="s">
        <v>3293</v>
      </c>
      <c r="F612" s="43">
        <v>13.799999999999999</v>
      </c>
      <c r="G612" s="100">
        <f t="shared" si="9"/>
        <v>13.8</v>
      </c>
      <c r="H612" s="101"/>
      <c r="I612" s="100">
        <f>G612*H612</f>
        <v>0</v>
      </c>
      <c r="J612" s="39" t="s">
        <v>3336</v>
      </c>
      <c r="K612" s="40" t="s">
        <v>41</v>
      </c>
      <c r="L612" s="41"/>
      <c r="M612" s="42" t="str">
        <f>HYPERLINK("https://catalog.onliner.by/ledstrip/neonnight/nn1211246", "https://catalog.onliner.by/ledstrip/neonnight/nn1211246")</f>
        <v>https://catalog.onliner.by/ledstrip/neonnight/nn1211246</v>
      </c>
      <c r="N612" s="42" t="str">
        <f>HYPERLINK("https://pronto.by/catalog/product/121-124-6.html", "https://pronto.by/catalog/product/121-124-6.html")</f>
        <v>https://pronto.by/catalog/product/121-124-6.html</v>
      </c>
    </row>
    <row r="613" spans="1:14" customFormat="1" ht="110.4">
      <c r="A613" s="35" t="s">
        <v>3675</v>
      </c>
      <c r="B613" s="19" t="s">
        <v>3676</v>
      </c>
      <c r="C613" s="20" t="s">
        <v>3677</v>
      </c>
      <c r="D613" s="36" t="s">
        <v>30</v>
      </c>
      <c r="E613" s="37" t="s">
        <v>3293</v>
      </c>
      <c r="F613" s="43">
        <v>14.76</v>
      </c>
      <c r="G613" s="100">
        <f t="shared" si="9"/>
        <v>14.76</v>
      </c>
      <c r="H613" s="101"/>
      <c r="I613" s="100">
        <f>G613*H613</f>
        <v>0</v>
      </c>
      <c r="J613" s="59" t="s">
        <v>3664</v>
      </c>
      <c r="K613" s="40" t="s">
        <v>41</v>
      </c>
      <c r="L613" s="41"/>
      <c r="M613" s="42" t="str">
        <f>HYPERLINK("https://catalog.onliner.by/ledstrip/neonnight/nn121124", "https://catalog.onliner.by/ledstrip/neonnight/nn121124")</f>
        <v>https://catalog.onliner.by/ledstrip/neonnight/nn121124</v>
      </c>
      <c r="N613" s="42" t="str">
        <f>HYPERLINK("https://pronto.by/catalog/product/121-124.html", "https://pronto.by/catalog/product/121-124.html")</f>
        <v>https://pronto.by/catalog/product/121-124.html</v>
      </c>
    </row>
    <row r="614" spans="1:14" customFormat="1" ht="69">
      <c r="A614" s="35" t="s">
        <v>1458</v>
      </c>
      <c r="B614" s="19" t="s">
        <v>1459</v>
      </c>
      <c r="C614" s="20" t="s">
        <v>3678</v>
      </c>
      <c r="D614" s="36" t="s">
        <v>30</v>
      </c>
      <c r="E614" s="37" t="s">
        <v>3293</v>
      </c>
      <c r="F614" s="43">
        <v>11.58</v>
      </c>
      <c r="G614" s="100">
        <f t="shared" si="9"/>
        <v>11.58</v>
      </c>
      <c r="H614" s="101"/>
      <c r="I614" s="100">
        <f>G614*H614</f>
        <v>0</v>
      </c>
      <c r="J614" s="39" t="s">
        <v>3336</v>
      </c>
      <c r="K614" s="40" t="s">
        <v>31</v>
      </c>
      <c r="L614" s="41"/>
      <c r="M614" s="42" t="str">
        <f>HYPERLINK("https://catalog.onliner.by/ledstrip/neonnight/1211244", "https://catalog.onliner.by/ledstrip/neonnight/1211244")</f>
        <v>https://catalog.onliner.by/ledstrip/neonnight/1211244</v>
      </c>
      <c r="N614" s="42" t="str">
        <f>HYPERLINK("https://pronto.by/catalog/product/121-124-4.html", "https://pronto.by/catalog/product/121-124-4.html")</f>
        <v>https://pronto.by/catalog/product/121-124-4.html</v>
      </c>
    </row>
    <row r="615" spans="1:14" customFormat="1" ht="82.8">
      <c r="A615" s="55" t="s">
        <v>1460</v>
      </c>
      <c r="B615" s="19" t="s">
        <v>1461</v>
      </c>
      <c r="C615" s="20" t="s">
        <v>3679</v>
      </c>
      <c r="D615" s="36" t="s">
        <v>30</v>
      </c>
      <c r="E615" s="37" t="s">
        <v>3293</v>
      </c>
      <c r="F615" s="43">
        <v>13.14</v>
      </c>
      <c r="G615" s="100">
        <f t="shared" si="9"/>
        <v>13.14</v>
      </c>
      <c r="H615" s="101"/>
      <c r="I615" s="100">
        <f>G615*H615</f>
        <v>0</v>
      </c>
      <c r="J615" s="39" t="s">
        <v>3336</v>
      </c>
      <c r="K615" s="40" t="s">
        <v>41</v>
      </c>
      <c r="L615" s="41"/>
      <c r="M615" s="42" t="str">
        <f>HYPERLINK("https://catalog.onliner.by/ledstrip/neonnight/nn1211226", "https://catalog.onliner.by/ledstrip/neonnight/nn1211226")</f>
        <v>https://catalog.onliner.by/ledstrip/neonnight/nn1211226</v>
      </c>
      <c r="N615" s="42" t="str">
        <f>HYPERLINK("https://pronto.by/catalog/product/121-122-6.html", "https://pronto.by/catalog/product/121-122-6.html")</f>
        <v>https://pronto.by/catalog/product/121-122-6.html</v>
      </c>
    </row>
    <row r="616" spans="1:14" customFormat="1" ht="82.8">
      <c r="A616" s="35" t="s">
        <v>1462</v>
      </c>
      <c r="B616" s="19" t="s">
        <v>1463</v>
      </c>
      <c r="C616" s="20" t="s">
        <v>3680</v>
      </c>
      <c r="D616" s="36" t="s">
        <v>30</v>
      </c>
      <c r="E616" s="37" t="s">
        <v>3293</v>
      </c>
      <c r="F616" s="43">
        <v>14.76</v>
      </c>
      <c r="G616" s="100">
        <f t="shared" si="9"/>
        <v>14.76</v>
      </c>
      <c r="H616" s="101"/>
      <c r="I616" s="100">
        <f>G616*H616</f>
        <v>0</v>
      </c>
      <c r="J616" s="39" t="s">
        <v>3336</v>
      </c>
      <c r="K616" s="40" t="s">
        <v>31</v>
      </c>
      <c r="L616" s="41"/>
      <c r="M616" s="42" t="str">
        <f>HYPERLINK("https://catalog.onliner.by/ledstrip/neonnight/nn121122", "https://catalog.onliner.by/ledstrip/neonnight/nn121122")</f>
        <v>https://catalog.onliner.by/ledstrip/neonnight/nn121122</v>
      </c>
      <c r="N616" s="42" t="str">
        <f>HYPERLINK("https://pronto.by/catalog/product/121-122.html", "https://pronto.by/catalog/product/121-122.html")</f>
        <v>https://pronto.by/catalog/product/121-122.html</v>
      </c>
    </row>
    <row r="617" spans="1:14" customFormat="1" ht="69">
      <c r="A617" s="55" t="s">
        <v>1464</v>
      </c>
      <c r="B617" s="19" t="s">
        <v>1465</v>
      </c>
      <c r="C617" s="20" t="s">
        <v>3681</v>
      </c>
      <c r="D617" s="36" t="s">
        <v>30</v>
      </c>
      <c r="E617" s="37" t="s">
        <v>3293</v>
      </c>
      <c r="F617" s="43">
        <v>12.18</v>
      </c>
      <c r="G617" s="100">
        <f t="shared" si="9"/>
        <v>12.18</v>
      </c>
      <c r="H617" s="101"/>
      <c r="I617" s="100">
        <f>G617*H617</f>
        <v>0</v>
      </c>
      <c r="J617" s="39" t="s">
        <v>3336</v>
      </c>
      <c r="K617" s="40" t="s">
        <v>31</v>
      </c>
      <c r="L617" s="41"/>
      <c r="M617" s="42" t="str">
        <f>HYPERLINK("https://catalog.onliner.by/ledstrip/neonnight/1211224", "https://catalog.onliner.by/ledstrip/neonnight/1211224")</f>
        <v>https://catalog.onliner.by/ledstrip/neonnight/1211224</v>
      </c>
      <c r="N617" s="42" t="str">
        <f>HYPERLINK("https://pronto.by/catalog/product/121-122-4.html", "https://pronto.by/catalog/product/121-122-4.html")</f>
        <v>https://pronto.by/catalog/product/121-122-4.html</v>
      </c>
    </row>
    <row r="618" spans="1:14" customFormat="1" ht="82.8">
      <c r="A618" s="35" t="s">
        <v>1466</v>
      </c>
      <c r="B618" s="19" t="s">
        <v>1467</v>
      </c>
      <c r="C618" s="20" t="s">
        <v>3682</v>
      </c>
      <c r="D618" s="36" t="s">
        <v>30</v>
      </c>
      <c r="E618" s="37" t="s">
        <v>3293</v>
      </c>
      <c r="F618" s="43">
        <v>10.440000000000001</v>
      </c>
      <c r="G618" s="100">
        <f t="shared" si="9"/>
        <v>10.44</v>
      </c>
      <c r="H618" s="101"/>
      <c r="I618" s="100">
        <f>G618*H618</f>
        <v>0</v>
      </c>
      <c r="J618" s="39" t="s">
        <v>3336</v>
      </c>
      <c r="K618" s="40" t="s">
        <v>31</v>
      </c>
      <c r="L618" s="41"/>
      <c r="M618" s="42" t="str">
        <f>HYPERLINK("https://catalog.onliner.by/ledstrip/neonnight/1211233", "https://catalog.onliner.by/ledstrip/neonnight/1211233")</f>
        <v>https://catalog.onliner.by/ledstrip/neonnight/1211233</v>
      </c>
      <c r="N618" s="42" t="str">
        <f>HYPERLINK("https://pronto.by/catalog/product/121-123-3.html", "https://pronto.by/catalog/product/121-123-3.html")</f>
        <v>https://pronto.by/catalog/product/121-123-3.html</v>
      </c>
    </row>
    <row r="619" spans="1:14" customFormat="1" ht="82.8">
      <c r="A619" s="55" t="s">
        <v>1468</v>
      </c>
      <c r="B619" s="19" t="s">
        <v>1469</v>
      </c>
      <c r="C619" s="20" t="s">
        <v>3683</v>
      </c>
      <c r="D619" s="36" t="s">
        <v>30</v>
      </c>
      <c r="E619" s="37" t="s">
        <v>3293</v>
      </c>
      <c r="F619" s="43">
        <v>13.14</v>
      </c>
      <c r="G619" s="100">
        <f t="shared" si="9"/>
        <v>13.14</v>
      </c>
      <c r="H619" s="101"/>
      <c r="I619" s="100">
        <f>G619*H619</f>
        <v>0</v>
      </c>
      <c r="J619" s="39" t="s">
        <v>3336</v>
      </c>
      <c r="K619" s="40" t="s">
        <v>41</v>
      </c>
      <c r="L619" s="41"/>
      <c r="M619" s="42" t="str">
        <f>HYPERLINK("https://catalog.onliner.by/ledstrip/neonnight/nn1211236", "https://catalog.onliner.by/ledstrip/neonnight/nn1211236")</f>
        <v>https://catalog.onliner.by/ledstrip/neonnight/nn1211236</v>
      </c>
      <c r="N619" s="42" t="str">
        <f>HYPERLINK("https://pronto.by/catalog/product/121-123-6.html", "https://pronto.by/catalog/product/121-123-6.html")</f>
        <v>https://pronto.by/catalog/product/121-123-6.html</v>
      </c>
    </row>
    <row r="620" spans="1:14" customFormat="1" ht="110.4">
      <c r="A620" s="35" t="s">
        <v>1470</v>
      </c>
      <c r="B620" s="19" t="s">
        <v>1471</v>
      </c>
      <c r="C620" s="20" t="s">
        <v>3684</v>
      </c>
      <c r="D620" s="36" t="s">
        <v>30</v>
      </c>
      <c r="E620" s="37" t="s">
        <v>3293</v>
      </c>
      <c r="F620" s="43">
        <v>14.76</v>
      </c>
      <c r="G620" s="100">
        <f t="shared" si="9"/>
        <v>14.76</v>
      </c>
      <c r="H620" s="101"/>
      <c r="I620" s="100">
        <f>G620*H620</f>
        <v>0</v>
      </c>
      <c r="J620" s="59" t="s">
        <v>3664</v>
      </c>
      <c r="K620" s="40" t="s">
        <v>41</v>
      </c>
      <c r="L620" s="41"/>
      <c r="M620" s="42" t="str">
        <f>HYPERLINK("https://catalog.onliner.by/ledstrip/neonnight/nn121123", "https://catalog.onliner.by/ledstrip/neonnight/nn121123")</f>
        <v>https://catalog.onliner.by/ledstrip/neonnight/nn121123</v>
      </c>
      <c r="N620" s="42" t="str">
        <f>HYPERLINK("https://pronto.by/catalog/product/121-123.html", "https://pronto.by/catalog/product/121-123.html")</f>
        <v>https://pronto.by/catalog/product/121-123.html</v>
      </c>
    </row>
    <row r="621" spans="1:14" customFormat="1" ht="69">
      <c r="A621" s="35" t="s">
        <v>1472</v>
      </c>
      <c r="B621" s="19" t="s">
        <v>1473</v>
      </c>
      <c r="C621" s="20" t="s">
        <v>3685</v>
      </c>
      <c r="D621" s="36" t="s">
        <v>30</v>
      </c>
      <c r="E621" s="37" t="s">
        <v>3293</v>
      </c>
      <c r="F621" s="43">
        <v>11.58</v>
      </c>
      <c r="G621" s="100">
        <f t="shared" si="9"/>
        <v>11.58</v>
      </c>
      <c r="H621" s="101"/>
      <c r="I621" s="100">
        <f>G621*H621</f>
        <v>0</v>
      </c>
      <c r="J621" s="39" t="s">
        <v>3336</v>
      </c>
      <c r="K621" s="40" t="s">
        <v>31</v>
      </c>
      <c r="L621" s="41"/>
      <c r="M621" s="42" t="str">
        <f>HYPERLINK("https://catalog.onliner.by/ledstrip/neonnight/1211234", "https://catalog.onliner.by/ledstrip/neonnight/1211234")</f>
        <v>https://catalog.onliner.by/ledstrip/neonnight/1211234</v>
      </c>
      <c r="N621" s="42" t="str">
        <f>HYPERLINK("https://pronto.by/catalog/product/121-123-4.html", "https://pronto.by/catalog/product/121-123-4.html")</f>
        <v>https://pronto.by/catalog/product/121-123-4.html</v>
      </c>
    </row>
    <row r="622" spans="1:14" customFormat="1" ht="82.8">
      <c r="A622" s="35" t="s">
        <v>1474</v>
      </c>
      <c r="B622" s="19" t="s">
        <v>1475</v>
      </c>
      <c r="C622" s="20" t="s">
        <v>3686</v>
      </c>
      <c r="D622" s="36" t="s">
        <v>30</v>
      </c>
      <c r="E622" s="37" t="s">
        <v>3293</v>
      </c>
      <c r="F622" s="43">
        <v>10.440000000000001</v>
      </c>
      <c r="G622" s="100">
        <f t="shared" si="9"/>
        <v>10.44</v>
      </c>
      <c r="H622" s="101"/>
      <c r="I622" s="100">
        <f>G622*H622</f>
        <v>0</v>
      </c>
      <c r="J622" s="39" t="s">
        <v>3336</v>
      </c>
      <c r="K622" s="40" t="s">
        <v>31</v>
      </c>
      <c r="L622" s="41"/>
      <c r="M622" s="42" t="str">
        <f>HYPERLINK("https://catalog.onliner.by/ledstrip/neonnight/1211263", "https://catalog.onliner.by/ledstrip/neonnight/1211263")</f>
        <v>https://catalog.onliner.by/ledstrip/neonnight/1211263</v>
      </c>
      <c r="N622" s="42" t="str">
        <f>HYPERLINK("https://pronto.by/catalog/product/121-126-3.html", "https://pronto.by/catalog/product/121-126-3.html")</f>
        <v>https://pronto.by/catalog/product/121-126-3.html</v>
      </c>
    </row>
    <row r="623" spans="1:14" customFormat="1" ht="82.8">
      <c r="A623" s="55" t="s">
        <v>3687</v>
      </c>
      <c r="B623" s="19" t="s">
        <v>3688</v>
      </c>
      <c r="C623" s="20" t="s">
        <v>3689</v>
      </c>
      <c r="D623" s="36" t="s">
        <v>30</v>
      </c>
      <c r="E623" s="37" t="s">
        <v>3293</v>
      </c>
      <c r="F623" s="43">
        <v>12.72</v>
      </c>
      <c r="G623" s="100">
        <f t="shared" si="9"/>
        <v>12.72</v>
      </c>
      <c r="H623" s="101"/>
      <c r="I623" s="100">
        <f>G623*H623</f>
        <v>0</v>
      </c>
      <c r="J623" s="39" t="s">
        <v>3336</v>
      </c>
      <c r="K623" s="40" t="s">
        <v>31</v>
      </c>
      <c r="L623" s="41"/>
      <c r="M623" s="42" t="str">
        <f>HYPERLINK("https://catalog.onliner.by/ledstrip/neonnight/nn1211266", "https://catalog.onliner.by/ledstrip/neonnight/nn1211266")</f>
        <v>https://catalog.onliner.by/ledstrip/neonnight/nn1211266</v>
      </c>
      <c r="N623" s="42" t="str">
        <f>HYPERLINK("https://pronto.by/catalog/product/121-126-6.html", "https://pronto.by/catalog/product/121-126-6.html")</f>
        <v>https://pronto.by/catalog/product/121-126-6.html</v>
      </c>
    </row>
    <row r="624" spans="1:14" customFormat="1" ht="110.4">
      <c r="A624" s="35" t="s">
        <v>3690</v>
      </c>
      <c r="B624" s="19" t="s">
        <v>3691</v>
      </c>
      <c r="C624" s="20" t="s">
        <v>3692</v>
      </c>
      <c r="D624" s="36" t="s">
        <v>30</v>
      </c>
      <c r="E624" s="37" t="s">
        <v>3293</v>
      </c>
      <c r="F624" s="43">
        <v>14.76</v>
      </c>
      <c r="G624" s="100">
        <f t="shared" si="9"/>
        <v>14.76</v>
      </c>
      <c r="H624" s="101"/>
      <c r="I624" s="100">
        <f>G624*H624</f>
        <v>0</v>
      </c>
      <c r="J624" s="59" t="s">
        <v>3664</v>
      </c>
      <c r="K624" s="40" t="s">
        <v>31</v>
      </c>
      <c r="L624" s="41"/>
      <c r="M624" s="42" t="str">
        <f>HYPERLINK("https://catalog.onliner.by/ledstrip/neonnight/nn121126", "https://catalog.onliner.by/ledstrip/neonnight/nn121126")</f>
        <v>https://catalog.onliner.by/ledstrip/neonnight/nn121126</v>
      </c>
      <c r="N624" s="42" t="str">
        <f>HYPERLINK("https://pronto.by/catalog/product/121-126.html", "https://pronto.by/catalog/product/121-126.html")</f>
        <v>https://pronto.by/catalog/product/121-126.html</v>
      </c>
    </row>
    <row r="625" spans="1:14" customFormat="1" ht="69">
      <c r="A625" s="35" t="s">
        <v>3693</v>
      </c>
      <c r="B625" s="19" t="s">
        <v>3694</v>
      </c>
      <c r="C625" s="20" t="s">
        <v>3695</v>
      </c>
      <c r="D625" s="36" t="s">
        <v>30</v>
      </c>
      <c r="E625" s="37" t="s">
        <v>3293</v>
      </c>
      <c r="F625" s="43">
        <v>11.58</v>
      </c>
      <c r="G625" s="100">
        <f t="shared" si="9"/>
        <v>11.58</v>
      </c>
      <c r="H625" s="101"/>
      <c r="I625" s="100">
        <f>G625*H625</f>
        <v>0</v>
      </c>
      <c r="J625" s="39" t="s">
        <v>3336</v>
      </c>
      <c r="K625" s="40" t="s">
        <v>31</v>
      </c>
      <c r="L625" s="41"/>
      <c r="M625" s="42" t="str">
        <f>HYPERLINK("https://catalog.onliner.by/ledstrip/neonnight/1211264", "https://catalog.onliner.by/ledstrip/neonnight/1211264")</f>
        <v>https://catalog.onliner.by/ledstrip/neonnight/1211264</v>
      </c>
      <c r="N625" s="42" t="str">
        <f>HYPERLINK("https://pronto.by/catalog/product/121-126-4.html", "https://pronto.by/catalog/product/121-126-4.html")</f>
        <v>https://pronto.by/catalog/product/121-126-4.html</v>
      </c>
    </row>
    <row r="626" spans="1:14" customFormat="1" ht="151.80000000000001">
      <c r="A626" s="35" t="s">
        <v>1476</v>
      </c>
      <c r="B626" s="19" t="s">
        <v>1477</v>
      </c>
      <c r="C626" s="20" t="s">
        <v>3696</v>
      </c>
      <c r="D626" s="36" t="s">
        <v>30</v>
      </c>
      <c r="E626" s="37" t="s">
        <v>3293</v>
      </c>
      <c r="F626" s="43">
        <v>17.64</v>
      </c>
      <c r="G626" s="100">
        <f t="shared" si="9"/>
        <v>17.64</v>
      </c>
      <c r="H626" s="101"/>
      <c r="I626" s="100">
        <f>G626*H626</f>
        <v>0</v>
      </c>
      <c r="J626" s="39" t="s">
        <v>3336</v>
      </c>
      <c r="K626" s="40" t="s">
        <v>31</v>
      </c>
      <c r="L626" s="41"/>
      <c r="M626" s="42" t="str">
        <f>HYPERLINK("https://catalog.onliner.by/xmaslights/neonnight/neon121155", "https://catalog.onliner.by/xmaslights/neonnight/neon121155")</f>
        <v>https://catalog.onliner.by/xmaslights/neonnight/neon121155</v>
      </c>
      <c r="N626" s="42" t="str">
        <f>HYPERLINK("https://pronto.by/catalog/product/121-155.html", "https://pronto.by/catalog/product/121-155.html")</f>
        <v>https://pronto.by/catalog/product/121-155.html</v>
      </c>
    </row>
    <row r="627" spans="1:14" customFormat="1" ht="69">
      <c r="A627" s="55" t="s">
        <v>3697</v>
      </c>
      <c r="B627" s="19" t="s">
        <v>3698</v>
      </c>
      <c r="C627" s="20" t="s">
        <v>3699</v>
      </c>
      <c r="D627" s="36" t="s">
        <v>30</v>
      </c>
      <c r="E627" s="37" t="s">
        <v>3293</v>
      </c>
      <c r="F627" s="43">
        <v>13.14</v>
      </c>
      <c r="G627" s="100">
        <f t="shared" si="9"/>
        <v>13.14</v>
      </c>
      <c r="H627" s="101"/>
      <c r="I627" s="100">
        <f>G627*H627</f>
        <v>0</v>
      </c>
      <c r="J627" s="39" t="s">
        <v>3336</v>
      </c>
      <c r="K627" s="40" t="s">
        <v>31</v>
      </c>
      <c r="L627" s="41"/>
      <c r="M627" s="42" t="str">
        <f>HYPERLINK("https://catalog.onliner.by/xmaslights/neonnight/neon121135", "https://catalog.onliner.by/xmaslights/neonnight/neon121135")</f>
        <v>https://catalog.onliner.by/xmaslights/neonnight/neon121135</v>
      </c>
      <c r="N627" s="42" t="str">
        <f>HYPERLINK("https://pronto.by/catalog/product/121-135.html", "https://pronto.by/catalog/product/121-135.html")</f>
        <v>https://pronto.by/catalog/product/121-135.html</v>
      </c>
    </row>
    <row r="628" spans="1:14" customFormat="1" ht="110.4">
      <c r="A628" s="35" t="s">
        <v>1478</v>
      </c>
      <c r="B628" s="19" t="s">
        <v>1479</v>
      </c>
      <c r="C628" s="20" t="s">
        <v>3700</v>
      </c>
      <c r="D628" s="36" t="s">
        <v>30</v>
      </c>
      <c r="E628" s="37" t="s">
        <v>3293</v>
      </c>
      <c r="F628" s="43">
        <v>16.079999999999998</v>
      </c>
      <c r="G628" s="100">
        <f t="shared" si="9"/>
        <v>16.079999999999998</v>
      </c>
      <c r="H628" s="101"/>
      <c r="I628" s="100">
        <f>G628*H628</f>
        <v>0</v>
      </c>
      <c r="J628" s="39" t="s">
        <v>3336</v>
      </c>
      <c r="K628" s="40" t="s">
        <v>31</v>
      </c>
      <c r="L628" s="41"/>
      <c r="M628" s="42" t="str">
        <f>HYPERLINK("https://catalog.onliner.by/xmaslights/neonnight/neon121156", "https://catalog.onliner.by/xmaslights/neonnight/neon121156")</f>
        <v>https://catalog.onliner.by/xmaslights/neonnight/neon121156</v>
      </c>
      <c r="N628" s="42" t="str">
        <f>HYPERLINK("https://pronto.by/catalog/product/121-156.html", "https://pronto.by/catalog/product/121-156.html")</f>
        <v>https://pronto.by/catalog/product/121-156.html</v>
      </c>
    </row>
    <row r="629" spans="1:14" customFormat="1" ht="69">
      <c r="A629" s="35" t="s">
        <v>1480</v>
      </c>
      <c r="B629" s="19" t="s">
        <v>1481</v>
      </c>
      <c r="C629" s="20" t="s">
        <v>3701</v>
      </c>
      <c r="D629" s="36" t="s">
        <v>30</v>
      </c>
      <c r="E629" s="37" t="s">
        <v>3293</v>
      </c>
      <c r="F629" s="43">
        <v>13.14</v>
      </c>
      <c r="G629" s="100">
        <f t="shared" si="9"/>
        <v>13.14</v>
      </c>
      <c r="H629" s="101"/>
      <c r="I629" s="100">
        <f>G629*H629</f>
        <v>0</v>
      </c>
      <c r="J629" s="39" t="s">
        <v>3336</v>
      </c>
      <c r="K629" s="40" t="s">
        <v>31</v>
      </c>
      <c r="L629" s="41"/>
      <c r="M629" s="42" t="s">
        <v>3702</v>
      </c>
      <c r="N629" s="42" t="str">
        <f>HYPERLINK("https://pronto.by/catalog/product/121-136.html", "https://pronto.by/catalog/product/121-136.html")</f>
        <v>https://pronto.by/catalog/product/121-136.html</v>
      </c>
    </row>
    <row r="630" spans="1:14" customFormat="1" ht="99.75" customHeight="1">
      <c r="A630" s="80" t="s">
        <v>3703</v>
      </c>
      <c r="B630" s="67"/>
      <c r="C630" s="67"/>
      <c r="D630" s="32"/>
      <c r="E630" s="32"/>
      <c r="F630" s="32"/>
      <c r="G630" s="52"/>
      <c r="H630" s="52"/>
      <c r="I630" s="52"/>
      <c r="J630" s="32"/>
      <c r="K630" s="32"/>
      <c r="L630" s="33"/>
      <c r="M630" s="33"/>
      <c r="N630" s="34"/>
    </row>
    <row r="631" spans="1:14" customFormat="1" ht="138">
      <c r="A631" s="35" t="s">
        <v>1482</v>
      </c>
      <c r="B631" s="19" t="s">
        <v>1483</v>
      </c>
      <c r="C631" s="20" t="s">
        <v>3704</v>
      </c>
      <c r="D631" s="36" t="s">
        <v>30</v>
      </c>
      <c r="E631" s="37" t="s">
        <v>3293</v>
      </c>
      <c r="F631" s="43">
        <v>18.240000000000002</v>
      </c>
      <c r="G631" s="100">
        <f t="shared" si="9"/>
        <v>18.239999999999998</v>
      </c>
      <c r="H631" s="101"/>
      <c r="I631" s="100">
        <f>G631*H631</f>
        <v>0</v>
      </c>
      <c r="J631" s="59" t="s">
        <v>3664</v>
      </c>
      <c r="K631" s="40" t="s">
        <v>41</v>
      </c>
      <c r="L631" s="41"/>
      <c r="M631" s="42" t="s">
        <v>3705</v>
      </c>
      <c r="N631" s="42" t="str">
        <f>HYPERLINK("https://pronto.by/catalog/product/121-325.html", "https://pronto.by/catalog/product/121-325.html")</f>
        <v>https://pronto.by/catalog/product/121-325.html</v>
      </c>
    </row>
    <row r="632" spans="1:14" customFormat="1" ht="69">
      <c r="A632" s="35" t="s">
        <v>1484</v>
      </c>
      <c r="B632" s="19" t="s">
        <v>1485</v>
      </c>
      <c r="C632" s="20" t="s">
        <v>3706</v>
      </c>
      <c r="D632" s="36" t="s">
        <v>30</v>
      </c>
      <c r="E632" s="37" t="s">
        <v>3293</v>
      </c>
      <c r="F632" s="43">
        <v>14.64</v>
      </c>
      <c r="G632" s="100">
        <f t="shared" si="9"/>
        <v>14.64</v>
      </c>
      <c r="H632" s="101"/>
      <c r="I632" s="100">
        <f>G632*H632</f>
        <v>0</v>
      </c>
      <c r="J632" s="39" t="s">
        <v>3336</v>
      </c>
      <c r="K632" s="40" t="s">
        <v>31</v>
      </c>
      <c r="L632" s="41"/>
      <c r="M632" s="42" t="s">
        <v>3707</v>
      </c>
      <c r="N632" s="42" t="str">
        <f>HYPERLINK("https://pronto.by/catalog/product/121-325-4.html", "https://pronto.by/catalog/product/121-325-4.html")</f>
        <v>https://pronto.by/catalog/product/121-325-4.html</v>
      </c>
    </row>
    <row r="633" spans="1:14" customFormat="1" ht="138">
      <c r="A633" s="55" t="s">
        <v>1486</v>
      </c>
      <c r="B633" s="19" t="s">
        <v>1487</v>
      </c>
      <c r="C633" s="20" t="s">
        <v>3708</v>
      </c>
      <c r="D633" s="36" t="s">
        <v>30</v>
      </c>
      <c r="E633" s="37" t="s">
        <v>3293</v>
      </c>
      <c r="F633" s="43">
        <v>18.240000000000002</v>
      </c>
      <c r="G633" s="100">
        <f t="shared" si="9"/>
        <v>18.239999999999998</v>
      </c>
      <c r="H633" s="101"/>
      <c r="I633" s="100">
        <f>G633*H633</f>
        <v>0</v>
      </c>
      <c r="J633" s="59" t="s">
        <v>3664</v>
      </c>
      <c r="K633" s="40" t="s">
        <v>41</v>
      </c>
      <c r="L633" s="41" t="s">
        <v>3709</v>
      </c>
      <c r="M633" s="42" t="s">
        <v>3710</v>
      </c>
      <c r="N633" s="42" t="str">
        <f>HYPERLINK("https://pronto.by/catalog/product/121-324.html", "https://pronto.by/catalog/product/121-324.html")</f>
        <v>https://pronto.by/catalog/product/121-324.html</v>
      </c>
    </row>
    <row r="634" spans="1:14" customFormat="1" ht="96.6">
      <c r="A634" s="35" t="s">
        <v>1488</v>
      </c>
      <c r="B634" s="19" t="s">
        <v>1489</v>
      </c>
      <c r="C634" s="20" t="s">
        <v>3711</v>
      </c>
      <c r="D634" s="36" t="s">
        <v>30</v>
      </c>
      <c r="E634" s="37" t="s">
        <v>3293</v>
      </c>
      <c r="F634" s="43">
        <v>18.240000000000002</v>
      </c>
      <c r="G634" s="100">
        <f t="shared" si="9"/>
        <v>18.239999999999998</v>
      </c>
      <c r="H634" s="101"/>
      <c r="I634" s="100">
        <f>G634*H634</f>
        <v>0</v>
      </c>
      <c r="J634" s="59" t="s">
        <v>3664</v>
      </c>
      <c r="K634" s="40" t="s">
        <v>31</v>
      </c>
      <c r="L634" s="41"/>
      <c r="M634" s="42" t="s">
        <v>3712</v>
      </c>
      <c r="N634" s="42" t="str">
        <f>HYPERLINK("https://pronto.by/catalog/product/121-322.html", "https://pronto.by/catalog/product/121-322.html")</f>
        <v>https://pronto.by/catalog/product/121-322.html</v>
      </c>
    </row>
    <row r="635" spans="1:14" customFormat="1" ht="96.6">
      <c r="A635" s="35" t="s">
        <v>1490</v>
      </c>
      <c r="B635" s="19" t="s">
        <v>1491</v>
      </c>
      <c r="C635" s="20" t="s">
        <v>3713</v>
      </c>
      <c r="D635" s="36" t="s">
        <v>30</v>
      </c>
      <c r="E635" s="37" t="s">
        <v>3293</v>
      </c>
      <c r="F635" s="43">
        <v>15.78</v>
      </c>
      <c r="G635" s="100">
        <f t="shared" si="9"/>
        <v>15.78</v>
      </c>
      <c r="H635" s="101"/>
      <c r="I635" s="100">
        <f>G635*H635</f>
        <v>0</v>
      </c>
      <c r="J635" s="59" t="s">
        <v>3664</v>
      </c>
      <c r="K635" s="40" t="s">
        <v>41</v>
      </c>
      <c r="L635" s="41"/>
      <c r="M635" s="42" t="s">
        <v>3714</v>
      </c>
      <c r="N635" s="42" t="str">
        <f>HYPERLINK("https://pronto.by/catalog/product/121-329-6.html", "https://pronto.by/catalog/product/121-329-6.html")</f>
        <v>https://pronto.by/catalog/product/121-329-6.html</v>
      </c>
    </row>
    <row r="636" spans="1:14" customFormat="1" ht="138">
      <c r="A636" s="35" t="s">
        <v>1492</v>
      </c>
      <c r="B636" s="19" t="s">
        <v>1493</v>
      </c>
      <c r="C636" s="20" t="s">
        <v>3715</v>
      </c>
      <c r="D636" s="36" t="s">
        <v>30</v>
      </c>
      <c r="E636" s="37" t="s">
        <v>3293</v>
      </c>
      <c r="F636" s="43">
        <v>18.240000000000002</v>
      </c>
      <c r="G636" s="100">
        <f t="shared" si="9"/>
        <v>18.239999999999998</v>
      </c>
      <c r="H636" s="101"/>
      <c r="I636" s="100">
        <f>G636*H636</f>
        <v>0</v>
      </c>
      <c r="J636" s="59" t="s">
        <v>3664</v>
      </c>
      <c r="K636" s="40" t="s">
        <v>41</v>
      </c>
      <c r="L636" s="41" t="s">
        <v>3716</v>
      </c>
      <c r="M636" s="42" t="s">
        <v>3717</v>
      </c>
      <c r="N636" s="42" t="str">
        <f>HYPERLINK("https://pronto.by/catalog/product/121-329.html", "https://pronto.by/catalog/product/121-329.html")</f>
        <v>https://pronto.by/catalog/product/121-329.html</v>
      </c>
    </row>
    <row r="637" spans="1:14" customFormat="1" ht="69">
      <c r="A637" s="35" t="s">
        <v>1494</v>
      </c>
      <c r="B637" s="19" t="s">
        <v>1495</v>
      </c>
      <c r="C637" s="20" t="s">
        <v>3718</v>
      </c>
      <c r="D637" s="36" t="s">
        <v>30</v>
      </c>
      <c r="E637" s="37" t="s">
        <v>3293</v>
      </c>
      <c r="F637" s="43">
        <v>14.64</v>
      </c>
      <c r="G637" s="100">
        <f t="shared" si="9"/>
        <v>14.64</v>
      </c>
      <c r="H637" s="101"/>
      <c r="I637" s="100">
        <f>G637*H637</f>
        <v>0</v>
      </c>
      <c r="J637" s="39" t="s">
        <v>3336</v>
      </c>
      <c r="K637" s="40" t="s">
        <v>31</v>
      </c>
      <c r="L637" s="41"/>
      <c r="M637" s="42" t="s">
        <v>3719</v>
      </c>
      <c r="N637" s="42" t="str">
        <f>HYPERLINK("https://pronto.by/catalog/product/121-329-4.html", "https://pronto.by/catalog/product/121-329-4.html")</f>
        <v>https://pronto.by/catalog/product/121-329-4.html</v>
      </c>
    </row>
    <row r="638" spans="1:14" customFormat="1" ht="124.2">
      <c r="A638" s="35" t="s">
        <v>1496</v>
      </c>
      <c r="B638" s="19" t="s">
        <v>1497</v>
      </c>
      <c r="C638" s="20" t="s">
        <v>3720</v>
      </c>
      <c r="D638" s="36" t="s">
        <v>30</v>
      </c>
      <c r="E638" s="37" t="s">
        <v>3293</v>
      </c>
      <c r="F638" s="43">
        <v>18.240000000000002</v>
      </c>
      <c r="G638" s="100">
        <f t="shared" si="9"/>
        <v>18.239999999999998</v>
      </c>
      <c r="H638" s="101"/>
      <c r="I638" s="100">
        <f>G638*H638</f>
        <v>0</v>
      </c>
      <c r="J638" s="59" t="s">
        <v>3664</v>
      </c>
      <c r="K638" s="40" t="s">
        <v>41</v>
      </c>
      <c r="L638" s="41" t="s">
        <v>3721</v>
      </c>
      <c r="M638" s="42" t="s">
        <v>3722</v>
      </c>
      <c r="N638" s="42" t="str">
        <f>HYPERLINK("https://pronto.by/catalog/product/121-323.html", "https://pronto.by/catalog/product/121-323.html")</f>
        <v>https://pronto.by/catalog/product/121-323.html</v>
      </c>
    </row>
    <row r="639" spans="1:14" customFormat="1" ht="69">
      <c r="A639" s="35" t="s">
        <v>1498</v>
      </c>
      <c r="B639" s="19" t="s">
        <v>1499</v>
      </c>
      <c r="C639" s="20" t="s">
        <v>3723</v>
      </c>
      <c r="D639" s="36" t="s">
        <v>30</v>
      </c>
      <c r="E639" s="37" t="s">
        <v>3293</v>
      </c>
      <c r="F639" s="43">
        <v>14.64</v>
      </c>
      <c r="G639" s="100">
        <f t="shared" si="9"/>
        <v>14.64</v>
      </c>
      <c r="H639" s="101"/>
      <c r="I639" s="100">
        <f>G639*H639</f>
        <v>0</v>
      </c>
      <c r="J639" s="39" t="s">
        <v>3336</v>
      </c>
      <c r="K639" s="40" t="s">
        <v>41</v>
      </c>
      <c r="L639" s="41"/>
      <c r="M639" s="42" t="s">
        <v>3724</v>
      </c>
      <c r="N639" s="42" t="str">
        <f>HYPERLINK("https://pronto.by/catalog/product/121-323-4.html", "https://pronto.by/catalog/product/121-323-4.html")</f>
        <v>https://pronto.by/catalog/product/121-323-4.html</v>
      </c>
    </row>
    <row r="640" spans="1:14" customFormat="1" ht="69">
      <c r="A640" s="35" t="s">
        <v>1500</v>
      </c>
      <c r="B640" s="19" t="s">
        <v>1501</v>
      </c>
      <c r="C640" s="20" t="s">
        <v>3725</v>
      </c>
      <c r="D640" s="36" t="s">
        <v>30</v>
      </c>
      <c r="E640" s="37" t="s">
        <v>3293</v>
      </c>
      <c r="F640" s="43">
        <v>14.64</v>
      </c>
      <c r="G640" s="100">
        <f t="shared" si="9"/>
        <v>14.64</v>
      </c>
      <c r="H640" s="101"/>
      <c r="I640" s="100">
        <f>G640*H640</f>
        <v>0</v>
      </c>
      <c r="J640" s="39" t="s">
        <v>3336</v>
      </c>
      <c r="K640" s="40" t="s">
        <v>31</v>
      </c>
      <c r="L640" s="41"/>
      <c r="M640" s="42" t="s">
        <v>3726</v>
      </c>
      <c r="N640" s="42" t="str">
        <f>HYPERLINK("https://pronto.by/catalog/product/121-326-4.html", "https://pronto.by/catalog/product/121-326-4.html")</f>
        <v>https://pronto.by/catalog/product/121-326-4.html</v>
      </c>
    </row>
    <row r="641" spans="1:14" customFormat="1" ht="99.75" customHeight="1">
      <c r="A641" s="80" t="s">
        <v>3727</v>
      </c>
      <c r="B641" s="67"/>
      <c r="C641" s="67"/>
      <c r="D641" s="32"/>
      <c r="E641" s="32"/>
      <c r="F641" s="32"/>
      <c r="G641" s="52"/>
      <c r="H641" s="52"/>
      <c r="I641" s="52"/>
      <c r="J641" s="32"/>
      <c r="K641" s="32"/>
      <c r="L641" s="33"/>
      <c r="M641" s="33"/>
      <c r="N641" s="34"/>
    </row>
    <row r="642" spans="1:14" customFormat="1" ht="124.2">
      <c r="A642" s="35" t="s">
        <v>1502</v>
      </c>
      <c r="B642" s="19" t="s">
        <v>1503</v>
      </c>
      <c r="C642" s="20" t="s">
        <v>3728</v>
      </c>
      <c r="D642" s="36" t="s">
        <v>30</v>
      </c>
      <c r="E642" s="37" t="s">
        <v>3293</v>
      </c>
      <c r="F642" s="43">
        <v>18.66</v>
      </c>
      <c r="G642" s="100">
        <f t="shared" si="9"/>
        <v>18.66</v>
      </c>
      <c r="H642" s="101"/>
      <c r="I642" s="100">
        <f>G642*H642</f>
        <v>0</v>
      </c>
      <c r="J642" s="59" t="s">
        <v>3664</v>
      </c>
      <c r="K642" s="40" t="s">
        <v>41</v>
      </c>
      <c r="L642" s="41" t="s">
        <v>3729</v>
      </c>
      <c r="M642" s="42" t="s">
        <v>3730</v>
      </c>
      <c r="N642" s="42" t="str">
        <f>HYPERLINK("https://pronto.by/catalog/product/121-255.html", "https://pronto.by/catalog/product/121-255.html")</f>
        <v>https://pronto.by/catalog/product/121-255.html</v>
      </c>
    </row>
    <row r="643" spans="1:14" customFormat="1" ht="69">
      <c r="A643" s="35" t="s">
        <v>1504</v>
      </c>
      <c r="B643" s="19" t="s">
        <v>1505</v>
      </c>
      <c r="C643" s="20" t="s">
        <v>3731</v>
      </c>
      <c r="D643" s="36" t="s">
        <v>30</v>
      </c>
      <c r="E643" s="37" t="s">
        <v>3293</v>
      </c>
      <c r="F643" s="43">
        <v>13.860000000000001</v>
      </c>
      <c r="G643" s="100">
        <f t="shared" si="9"/>
        <v>13.86</v>
      </c>
      <c r="H643" s="101"/>
      <c r="I643" s="100">
        <f>G643*H643</f>
        <v>0</v>
      </c>
      <c r="J643" s="39" t="s">
        <v>3336</v>
      </c>
      <c r="K643" s="40" t="s">
        <v>41</v>
      </c>
      <c r="L643" s="41"/>
      <c r="M643" s="42" t="s">
        <v>3732</v>
      </c>
      <c r="N643" s="42" t="str">
        <f>HYPERLINK("https://pronto.by/catalog/product/121-255-4.html", "https://pronto.by/catalog/product/121-255-4.html")</f>
        <v>https://pronto.by/catalog/product/121-255-4.html</v>
      </c>
    </row>
    <row r="644" spans="1:14" customFormat="1" ht="124.2">
      <c r="A644" s="35" t="s">
        <v>3733</v>
      </c>
      <c r="B644" s="19" t="s">
        <v>3734</v>
      </c>
      <c r="C644" s="20" t="s">
        <v>3735</v>
      </c>
      <c r="D644" s="36" t="s">
        <v>30</v>
      </c>
      <c r="E644" s="37" t="s">
        <v>3293</v>
      </c>
      <c r="F644" s="43">
        <v>18.66</v>
      </c>
      <c r="G644" s="100">
        <f t="shared" si="9"/>
        <v>18.66</v>
      </c>
      <c r="H644" s="101"/>
      <c r="I644" s="100">
        <f>G644*H644</f>
        <v>0</v>
      </c>
      <c r="J644" s="59" t="s">
        <v>3664</v>
      </c>
      <c r="K644" s="40" t="s">
        <v>41</v>
      </c>
      <c r="L644" s="41" t="s">
        <v>3736</v>
      </c>
      <c r="M644" s="42" t="s">
        <v>3737</v>
      </c>
      <c r="N644" s="42" t="str">
        <f>HYPERLINK("https://pronto.by/catalog/product/121-253.html", "https://pronto.by/catalog/product/121-253.html")</f>
        <v>https://pronto.by/catalog/product/121-253.html</v>
      </c>
    </row>
    <row r="645" spans="1:14" customFormat="1" ht="82.8">
      <c r="A645" s="35" t="s">
        <v>1506</v>
      </c>
      <c r="B645" s="19" t="s">
        <v>1507</v>
      </c>
      <c r="C645" s="20" t="s">
        <v>3738</v>
      </c>
      <c r="D645" s="36" t="s">
        <v>30</v>
      </c>
      <c r="E645" s="37" t="s">
        <v>3293</v>
      </c>
      <c r="F645" s="43">
        <v>18.66</v>
      </c>
      <c r="G645" s="100">
        <f t="shared" si="9"/>
        <v>18.66</v>
      </c>
      <c r="H645" s="101"/>
      <c r="I645" s="100">
        <f>G645*H645</f>
        <v>0</v>
      </c>
      <c r="J645" s="59" t="s">
        <v>3664</v>
      </c>
      <c r="K645" s="40" t="s">
        <v>31</v>
      </c>
      <c r="L645" s="41"/>
      <c r="M645" s="42" t="s">
        <v>3739</v>
      </c>
      <c r="N645" s="42" t="str">
        <f>HYPERLINK("https://pronto.by/catalog/product/121-256.html", "https://pronto.by/catalog/product/121-256.html")</f>
        <v>https://pronto.by/catalog/product/121-256.html</v>
      </c>
    </row>
    <row r="646" spans="1:14" customFormat="1" ht="15.6">
      <c r="A646" s="81" t="s">
        <v>3740</v>
      </c>
      <c r="B646" s="67"/>
      <c r="C646" s="67"/>
      <c r="D646" s="32"/>
      <c r="E646" s="32"/>
      <c r="F646" s="32"/>
      <c r="G646" s="52"/>
      <c r="H646" s="52"/>
      <c r="I646" s="52"/>
      <c r="J646" s="32"/>
      <c r="K646" s="32"/>
      <c r="L646" s="33"/>
      <c r="M646" s="33"/>
      <c r="N646" s="34"/>
    </row>
    <row r="647" spans="1:14" customFormat="1" ht="41.4">
      <c r="A647" s="35" t="s">
        <v>1508</v>
      </c>
      <c r="B647" s="19" t="s">
        <v>1509</v>
      </c>
      <c r="C647" s="20" t="s">
        <v>3741</v>
      </c>
      <c r="D647" s="36" t="s">
        <v>28</v>
      </c>
      <c r="E647" s="37" t="s">
        <v>3278</v>
      </c>
      <c r="F647" s="43">
        <v>8.4600000000000009</v>
      </c>
      <c r="G647" s="100">
        <f t="shared" si="9"/>
        <v>8.4600000000000009</v>
      </c>
      <c r="H647" s="101"/>
      <c r="I647" s="100">
        <f>G647*H647</f>
        <v>0</v>
      </c>
      <c r="J647" s="39" t="s">
        <v>3336</v>
      </c>
      <c r="K647" s="40" t="s">
        <v>31</v>
      </c>
      <c r="L647" s="44"/>
      <c r="M647" s="42" t="s">
        <v>3742</v>
      </c>
      <c r="N647" s="42" t="str">
        <f>HYPERLINK("https://pronto.by/catalog/product/124-311.html", "https://pronto.by/catalog/product/124-311.html")</f>
        <v>https://pronto.by/catalog/product/124-311.html</v>
      </c>
    </row>
    <row r="648" spans="1:14" customFormat="1" ht="41.4">
      <c r="A648" s="35" t="s">
        <v>1510</v>
      </c>
      <c r="B648" s="19" t="s">
        <v>1511</v>
      </c>
      <c r="C648" s="20" t="s">
        <v>3743</v>
      </c>
      <c r="D648" s="36" t="s">
        <v>28</v>
      </c>
      <c r="E648" s="37" t="s">
        <v>3278</v>
      </c>
      <c r="F648" s="43">
        <v>8.4600000000000009</v>
      </c>
      <c r="G648" s="100">
        <f t="shared" si="9"/>
        <v>8.4600000000000009</v>
      </c>
      <c r="H648" s="101"/>
      <c r="I648" s="100">
        <f>G648*H648</f>
        <v>0</v>
      </c>
      <c r="J648" s="39" t="s">
        <v>3336</v>
      </c>
      <c r="K648" s="40" t="s">
        <v>31</v>
      </c>
      <c r="L648" s="44"/>
      <c r="M648" s="42" t="s">
        <v>3744</v>
      </c>
      <c r="N648" s="42" t="str">
        <f>HYPERLINK("https://pronto.by/catalog/product/124-321.html", "https://pronto.by/catalog/product/124-321.html")</f>
        <v>https://pronto.by/catalog/product/124-321.html</v>
      </c>
    </row>
    <row r="649" spans="1:14" customFormat="1" ht="41.4">
      <c r="A649" s="35" t="s">
        <v>1512</v>
      </c>
      <c r="B649" s="19" t="s">
        <v>1513</v>
      </c>
      <c r="C649" s="20" t="s">
        <v>1514</v>
      </c>
      <c r="D649" s="36" t="s">
        <v>28</v>
      </c>
      <c r="E649" s="37" t="s">
        <v>3278</v>
      </c>
      <c r="F649" s="43">
        <v>13.38</v>
      </c>
      <c r="G649" s="100">
        <f t="shared" si="9"/>
        <v>13.38</v>
      </c>
      <c r="H649" s="101"/>
      <c r="I649" s="100">
        <f>G649*H649</f>
        <v>0</v>
      </c>
      <c r="J649" s="39" t="s">
        <v>3336</v>
      </c>
      <c r="K649" s="40" t="s">
        <v>41</v>
      </c>
      <c r="L649" s="41"/>
      <c r="M649" s="42" t="s">
        <v>3745</v>
      </c>
      <c r="N649" s="42" t="str">
        <f>HYPERLINK("https://pronto.by/catalog/product/124-221.html", "https://pronto.by/catalog/product/124-221.html")</f>
        <v>https://pronto.by/catalog/product/124-221.html</v>
      </c>
    </row>
    <row r="650" spans="1:14" customFormat="1" ht="27.6">
      <c r="A650" s="35" t="s">
        <v>1515</v>
      </c>
      <c r="B650" s="19" t="s">
        <v>1516</v>
      </c>
      <c r="C650" s="20" t="s">
        <v>3746</v>
      </c>
      <c r="D650" s="36" t="s">
        <v>28</v>
      </c>
      <c r="E650" s="37" t="s">
        <v>3268</v>
      </c>
      <c r="F650" s="43">
        <v>0.3</v>
      </c>
      <c r="G650" s="100">
        <f t="shared" si="9"/>
        <v>0.3</v>
      </c>
      <c r="H650" s="101"/>
      <c r="I650" s="100">
        <f>G650*H650</f>
        <v>0</v>
      </c>
      <c r="J650" s="39" t="s">
        <v>3336</v>
      </c>
      <c r="K650" s="40" t="s">
        <v>31</v>
      </c>
      <c r="L650" s="41"/>
      <c r="M650" s="44"/>
      <c r="N650" s="42" t="str">
        <f>HYPERLINK("https://pronto.by/catalog/product/104-200.html", "https://pronto.by/catalog/product/104-200.html")</f>
        <v>https://pronto.by/catalog/product/104-200.html</v>
      </c>
    </row>
    <row r="651" spans="1:14" customFormat="1" ht="27.6">
      <c r="A651" s="35" t="s">
        <v>1517</v>
      </c>
      <c r="B651" s="19" t="s">
        <v>1518</v>
      </c>
      <c r="C651" s="20" t="s">
        <v>3747</v>
      </c>
      <c r="D651" s="36" t="s">
        <v>28</v>
      </c>
      <c r="E651" s="37" t="s">
        <v>3305</v>
      </c>
      <c r="F651" s="43">
        <v>0.42000000000000004</v>
      </c>
      <c r="G651" s="100">
        <f t="shared" si="9"/>
        <v>0.42</v>
      </c>
      <c r="H651" s="101"/>
      <c r="I651" s="100">
        <f>G651*H651</f>
        <v>0</v>
      </c>
      <c r="J651" s="39" t="s">
        <v>3336</v>
      </c>
      <c r="K651" s="40" t="s">
        <v>31</v>
      </c>
      <c r="L651" s="41"/>
      <c r="M651" s="44"/>
      <c r="N651" s="42" t="str">
        <f>HYPERLINK("https://pronto.by/catalog/product/104-201.html", "https://pronto.by/catalog/product/104-201.html")</f>
        <v>https://pronto.by/catalog/product/104-201.html</v>
      </c>
    </row>
    <row r="652" spans="1:14" customFormat="1" ht="27.6">
      <c r="A652" s="35" t="s">
        <v>1519</v>
      </c>
      <c r="B652" s="19" t="s">
        <v>1520</v>
      </c>
      <c r="C652" s="20" t="s">
        <v>1521</v>
      </c>
      <c r="D652" s="36" t="s">
        <v>29</v>
      </c>
      <c r="E652" s="37" t="s">
        <v>3260</v>
      </c>
      <c r="F652" s="43">
        <v>44.58</v>
      </c>
      <c r="G652" s="100">
        <f t="shared" si="9"/>
        <v>44.58</v>
      </c>
      <c r="H652" s="101"/>
      <c r="I652" s="100">
        <f>G652*H652</f>
        <v>0</v>
      </c>
      <c r="J652" s="39" t="s">
        <v>3336</v>
      </c>
      <c r="K652" s="40" t="s">
        <v>31</v>
      </c>
      <c r="L652" s="41"/>
      <c r="M652" s="44"/>
      <c r="N652" s="42" t="str">
        <f>HYPERLINK("https://pronto.by/catalog/product/104-312.html", "https://pronto.by/catalog/product/104-312.html")</f>
        <v>https://pronto.by/catalog/product/104-312.html</v>
      </c>
    </row>
    <row r="653" spans="1:14" customFormat="1" ht="41.4">
      <c r="A653" s="35" t="s">
        <v>1522</v>
      </c>
      <c r="B653" s="19" t="s">
        <v>1523</v>
      </c>
      <c r="C653" s="20" t="s">
        <v>1524</v>
      </c>
      <c r="D653" s="36" t="s">
        <v>28</v>
      </c>
      <c r="E653" s="37" t="s">
        <v>3301</v>
      </c>
      <c r="F653" s="43">
        <v>6.3</v>
      </c>
      <c r="G653" s="100">
        <f t="shared" si="9"/>
        <v>6.3</v>
      </c>
      <c r="H653" s="101"/>
      <c r="I653" s="100">
        <f>G653*H653</f>
        <v>0</v>
      </c>
      <c r="J653" s="39" t="s">
        <v>3336</v>
      </c>
      <c r="K653" s="40" t="s">
        <v>41</v>
      </c>
      <c r="L653" s="41"/>
      <c r="M653" s="42" t="s">
        <v>3748</v>
      </c>
      <c r="N653" s="42" t="str">
        <f>HYPERLINK("https://pronto.by/catalog/product/124-113.html", "https://pronto.by/catalog/product/124-113.html")</f>
        <v>https://pronto.by/catalog/product/124-113.html</v>
      </c>
    </row>
    <row r="654" spans="1:14" customFormat="1" ht="41.4">
      <c r="A654" s="35" t="s">
        <v>1525</v>
      </c>
      <c r="B654" s="19" t="s">
        <v>1526</v>
      </c>
      <c r="C654" s="20" t="s">
        <v>1527</v>
      </c>
      <c r="D654" s="36" t="s">
        <v>28</v>
      </c>
      <c r="E654" s="37" t="s">
        <v>3268</v>
      </c>
      <c r="F654" s="43">
        <v>6.0600000000000005</v>
      </c>
      <c r="G654" s="100">
        <f t="shared" si="9"/>
        <v>6.06</v>
      </c>
      <c r="H654" s="101"/>
      <c r="I654" s="100">
        <f>G654*H654</f>
        <v>0</v>
      </c>
      <c r="J654" s="39" t="s">
        <v>3336</v>
      </c>
      <c r="K654" s="40" t="s">
        <v>41</v>
      </c>
      <c r="L654" s="41"/>
      <c r="M654" s="42" t="str">
        <f>HYPERLINK("https://catalog.onliner.by/xmaslights/neonnight/124111", "https://catalog.onliner.by/xmaslights/neonnight/124111")</f>
        <v>https://catalog.onliner.by/xmaslights/neonnight/124111</v>
      </c>
      <c r="N654" s="42" t="str">
        <f>HYPERLINK("https://pronto.by/catalog/product/124-111.html", "https://pronto.by/catalog/product/124-111.html")</f>
        <v>https://pronto.by/catalog/product/124-111.html</v>
      </c>
    </row>
    <row r="655" spans="1:14" customFormat="1" ht="41.4">
      <c r="A655" s="35" t="s">
        <v>1528</v>
      </c>
      <c r="B655" s="19" t="s">
        <v>1529</v>
      </c>
      <c r="C655" s="20" t="s">
        <v>1530</v>
      </c>
      <c r="D655" s="36" t="s">
        <v>28</v>
      </c>
      <c r="E655" s="37" t="s">
        <v>3268</v>
      </c>
      <c r="F655" s="43">
        <v>6.9600000000000009</v>
      </c>
      <c r="G655" s="100">
        <f t="shared" ref="G655:G718" si="10">ROUND(F655-F655*G$3,2)</f>
        <v>6.96</v>
      </c>
      <c r="H655" s="101"/>
      <c r="I655" s="100">
        <f>G655*H655</f>
        <v>0</v>
      </c>
      <c r="J655" s="39" t="s">
        <v>3336</v>
      </c>
      <c r="K655" s="40" t="s">
        <v>41</v>
      </c>
      <c r="L655" s="41"/>
      <c r="M655" s="44" t="e">
        <f>VLOOKUP(A655,#REF!,4,0)</f>
        <v>#REF!</v>
      </c>
      <c r="N655" s="42" t="str">
        <f>HYPERLINK("https://pronto.by/catalog/product/124-121.html", "https://pronto.by/catalog/product/124-121.html")</f>
        <v>https://pronto.by/catalog/product/124-121.html</v>
      </c>
    </row>
    <row r="656" spans="1:14" customFormat="1" ht="71.400000000000006">
      <c r="A656" s="35" t="s">
        <v>1531</v>
      </c>
      <c r="B656" s="19" t="s">
        <v>1532</v>
      </c>
      <c r="C656" s="20" t="s">
        <v>1533</v>
      </c>
      <c r="D656" s="36" t="s">
        <v>28</v>
      </c>
      <c r="E656" s="37" t="s">
        <v>3260</v>
      </c>
      <c r="F656" s="43">
        <v>14.940000000000001</v>
      </c>
      <c r="G656" s="100">
        <f t="shared" si="10"/>
        <v>14.94</v>
      </c>
      <c r="H656" s="101"/>
      <c r="I656" s="100">
        <f>G656*H656</f>
        <v>0</v>
      </c>
      <c r="J656" s="39" t="s">
        <v>3336</v>
      </c>
      <c r="K656" s="40" t="s">
        <v>31</v>
      </c>
      <c r="L656" s="41"/>
      <c r="M656" s="44" t="e">
        <f>VLOOKUP(A656,#REF!,4,0)</f>
        <v>#REF!</v>
      </c>
      <c r="N656" s="42" t="str">
        <f>HYPERLINK("https://pronto.by/catalog/prazdnichnaya-svetotehnika/professional-professionalnye-proekty/dyuralayt/aksessuary-dlya-dyuralayta/124-018.html", "https://pronto.by/catalog/prazdnichnaya-svetotehnika/professional-professionalnye-proekty/dyuralayt/aksessuary-dlya-dyuralayta/124-018.html")</f>
        <v>https://pronto.by/catalog/prazdnichnaya-svetotehnika/professional-professionalnye-proekty/dyuralayt/aksessuary-dlya-dyuralayta/124-018.html</v>
      </c>
    </row>
    <row r="657" spans="1:14" customFormat="1" ht="41.4">
      <c r="A657" s="35" t="s">
        <v>3749</v>
      </c>
      <c r="B657" s="19" t="s">
        <v>3750</v>
      </c>
      <c r="C657" s="20" t="s">
        <v>3751</v>
      </c>
      <c r="D657" s="36" t="s">
        <v>28</v>
      </c>
      <c r="E657" s="37" t="s">
        <v>3277</v>
      </c>
      <c r="F657" s="43">
        <v>57.54</v>
      </c>
      <c r="G657" s="100">
        <f t="shared" si="10"/>
        <v>57.54</v>
      </c>
      <c r="H657" s="101"/>
      <c r="I657" s="100">
        <f>G657*H657</f>
        <v>0</v>
      </c>
      <c r="J657" s="39" t="s">
        <v>3336</v>
      </c>
      <c r="K657" s="40" t="s">
        <v>31</v>
      </c>
      <c r="L657" s="41"/>
      <c r="M657" s="42" t="s">
        <v>3752</v>
      </c>
      <c r="N657" s="42" t="str">
        <f>HYPERLINK("https://pronto.by/catalog/product/123-013.html", "https://pronto.by/catalog/product/123-013.html")</f>
        <v>https://pronto.by/catalog/product/123-013.html</v>
      </c>
    </row>
    <row r="658" spans="1:14" customFormat="1" ht="41.4">
      <c r="A658" s="35" t="s">
        <v>1534</v>
      </c>
      <c r="B658" s="19" t="s">
        <v>1535</v>
      </c>
      <c r="C658" s="20" t="s">
        <v>1536</v>
      </c>
      <c r="D658" s="36" t="s">
        <v>28</v>
      </c>
      <c r="E658" s="37" t="s">
        <v>3277</v>
      </c>
      <c r="F658" s="43">
        <v>59.82</v>
      </c>
      <c r="G658" s="100">
        <f t="shared" si="10"/>
        <v>59.82</v>
      </c>
      <c r="H658" s="101"/>
      <c r="I658" s="100">
        <f>G658*H658</f>
        <v>0</v>
      </c>
      <c r="J658" s="39" t="s">
        <v>3336</v>
      </c>
      <c r="K658" s="40" t="s">
        <v>31</v>
      </c>
      <c r="L658" s="41"/>
      <c r="M658" s="42" t="s">
        <v>3753</v>
      </c>
      <c r="N658" s="42" t="str">
        <f>HYPERLINK("https://pronto.by/catalog/product/123-034.html", "https://pronto.by/catalog/product/123-034.html")</f>
        <v>https://pronto.by/catalog/product/123-034.html</v>
      </c>
    </row>
    <row r="659" spans="1:14" customFormat="1" ht="41.4">
      <c r="A659" s="35" t="s">
        <v>1537</v>
      </c>
      <c r="B659" s="19" t="s">
        <v>1538</v>
      </c>
      <c r="C659" s="20" t="s">
        <v>1539</v>
      </c>
      <c r="D659" s="36" t="s">
        <v>28</v>
      </c>
      <c r="E659" s="37" t="s">
        <v>3277</v>
      </c>
      <c r="F659" s="43">
        <v>46.199999999999996</v>
      </c>
      <c r="G659" s="100">
        <f t="shared" si="10"/>
        <v>46.2</v>
      </c>
      <c r="H659" s="101"/>
      <c r="I659" s="100">
        <f>G659*H659</f>
        <v>0</v>
      </c>
      <c r="J659" s="39" t="s">
        <v>3336</v>
      </c>
      <c r="K659" s="40" t="s">
        <v>41</v>
      </c>
      <c r="L659" s="41"/>
      <c r="M659" s="42" t="s">
        <v>3754</v>
      </c>
      <c r="N659" s="42" t="str">
        <f>HYPERLINK("https://pronto.by/catalog/product/123-032.html", "https://pronto.by/catalog/product/123-032.html")</f>
        <v>https://pronto.by/catalog/product/123-032.html</v>
      </c>
    </row>
    <row r="660" spans="1:14" customFormat="1" ht="27.6">
      <c r="A660" s="35" t="s">
        <v>1540</v>
      </c>
      <c r="B660" s="19" t="s">
        <v>1541</v>
      </c>
      <c r="C660" s="20" t="s">
        <v>3755</v>
      </c>
      <c r="D660" s="36" t="s">
        <v>28</v>
      </c>
      <c r="E660" s="37" t="s">
        <v>3278</v>
      </c>
      <c r="F660" s="43">
        <v>5.0999999999999996</v>
      </c>
      <c r="G660" s="100">
        <f t="shared" si="10"/>
        <v>5.0999999999999996</v>
      </c>
      <c r="H660" s="101"/>
      <c r="I660" s="100">
        <f>G660*H660</f>
        <v>0</v>
      </c>
      <c r="J660" s="39" t="s">
        <v>3336</v>
      </c>
      <c r="K660" s="40" t="s">
        <v>31</v>
      </c>
      <c r="L660" s="41"/>
      <c r="M660" s="44"/>
      <c r="N660" s="42" t="str">
        <f>HYPERLINK("https://pronto.by/catalog/product/104-411.html", "https://pronto.by/catalog/product/104-411.html")</f>
        <v>https://pronto.by/catalog/product/104-411.html</v>
      </c>
    </row>
    <row r="661" spans="1:14" customFormat="1" ht="69">
      <c r="A661" s="35" t="s">
        <v>1542</v>
      </c>
      <c r="B661" s="19" t="s">
        <v>1543</v>
      </c>
      <c r="C661" s="20" t="s">
        <v>1544</v>
      </c>
      <c r="D661" s="36" t="s">
        <v>28</v>
      </c>
      <c r="E661" s="37" t="s">
        <v>3260</v>
      </c>
      <c r="F661" s="43">
        <v>28.140000000000004</v>
      </c>
      <c r="G661" s="100">
        <f t="shared" si="10"/>
        <v>28.14</v>
      </c>
      <c r="H661" s="101"/>
      <c r="I661" s="100">
        <f>G661*H661</f>
        <v>0</v>
      </c>
      <c r="J661" s="39" t="s">
        <v>3336</v>
      </c>
      <c r="K661" s="40" t="s">
        <v>31</v>
      </c>
      <c r="L661" s="41"/>
      <c r="M661" s="42" t="str">
        <f>HYPERLINK("https://catalog.onliner.by/xmaslights/neonnight/1240213", "https://catalog.onliner.by/xmaslights/neonnight/1240213")</f>
        <v>https://catalog.onliner.by/xmaslights/neonnight/1240213</v>
      </c>
      <c r="N661" s="42" t="str">
        <f>HYPERLINK("https://pronto.by/catalog/product/124-021-3.html", "https://pronto.by/catalog/product/124-021-3.html")</f>
        <v>https://pronto.by/catalog/product/124-021-3.html</v>
      </c>
    </row>
    <row r="662" spans="1:14" customFormat="1" ht="69">
      <c r="A662" s="35" t="s">
        <v>1545</v>
      </c>
      <c r="B662" s="19" t="s">
        <v>1546</v>
      </c>
      <c r="C662" s="20" t="s">
        <v>1547</v>
      </c>
      <c r="D662" s="36" t="s">
        <v>28</v>
      </c>
      <c r="E662" s="37" t="s">
        <v>3260</v>
      </c>
      <c r="F662" s="43">
        <v>28.140000000000004</v>
      </c>
      <c r="G662" s="100">
        <f t="shared" si="10"/>
        <v>28.14</v>
      </c>
      <c r="H662" s="101"/>
      <c r="I662" s="100">
        <f>G662*H662</f>
        <v>0</v>
      </c>
      <c r="J662" s="39" t="s">
        <v>3336</v>
      </c>
      <c r="K662" s="40" t="s">
        <v>41</v>
      </c>
      <c r="L662" s="41"/>
      <c r="M662" s="42" t="str">
        <f>HYPERLINK("https://catalog.onliner.by/xmaslights/neonnight/124011124011", "https://catalog.onliner.by/xmaslights/neonnight/124011124011")</f>
        <v>https://catalog.onliner.by/xmaslights/neonnight/124011124011</v>
      </c>
      <c r="N662" s="42" t="str">
        <f>HYPERLINK("https://pronto.by/catalog/product/124-011.html", "https://pronto.by/catalog/product/124-011.html")</f>
        <v>https://pronto.by/catalog/product/124-011.html</v>
      </c>
    </row>
    <row r="663" spans="1:14" customFormat="1" ht="69">
      <c r="A663" s="35" t="s">
        <v>1548</v>
      </c>
      <c r="B663" s="19" t="s">
        <v>1549</v>
      </c>
      <c r="C663" s="20" t="s">
        <v>1550</v>
      </c>
      <c r="D663" s="36" t="s">
        <v>28</v>
      </c>
      <c r="E663" s="37" t="s">
        <v>3260</v>
      </c>
      <c r="F663" s="43">
        <v>28.140000000000004</v>
      </c>
      <c r="G663" s="100">
        <f t="shared" si="10"/>
        <v>28.14</v>
      </c>
      <c r="H663" s="101"/>
      <c r="I663" s="100">
        <f>G663*H663</f>
        <v>0</v>
      </c>
      <c r="J663" s="39" t="s">
        <v>3336</v>
      </c>
      <c r="K663" s="40" t="s">
        <v>31</v>
      </c>
      <c r="L663" s="41"/>
      <c r="M663" s="42" t="str">
        <f>HYPERLINK("https://catalog.onliner.by/xmaslights/neonnight/124021124021", "https://catalog.onliner.by/xmaslights/neonnight/124021124021")</f>
        <v>https://catalog.onliner.by/xmaslights/neonnight/124021124021</v>
      </c>
      <c r="N663" s="42" t="str">
        <f>HYPERLINK("https://pronto.by/catalog/product/124-021.html", "https://pronto.by/catalog/product/124-021.html")</f>
        <v>https://pronto.by/catalog/product/124-021.html</v>
      </c>
    </row>
    <row r="664" spans="1:14" customFormat="1" ht="15.6">
      <c r="A664" s="81" t="s">
        <v>3756</v>
      </c>
      <c r="B664" s="67"/>
      <c r="C664" s="67"/>
      <c r="D664" s="32"/>
      <c r="E664" s="32"/>
      <c r="F664" s="32"/>
      <c r="G664" s="52"/>
      <c r="H664" s="52"/>
      <c r="I664" s="52"/>
      <c r="J664" s="32"/>
      <c r="K664" s="32"/>
      <c r="L664" s="33"/>
      <c r="M664" s="33"/>
      <c r="N664" s="34"/>
    </row>
    <row r="665" spans="1:14" customFormat="1" ht="15.6">
      <c r="A665" s="81" t="s">
        <v>3757</v>
      </c>
      <c r="B665" s="67"/>
      <c r="C665" s="67"/>
      <c r="D665" s="32"/>
      <c r="E665" s="32"/>
      <c r="F665" s="32"/>
      <c r="G665" s="52"/>
      <c r="H665" s="52"/>
      <c r="I665" s="52"/>
      <c r="J665" s="32"/>
      <c r="K665" s="32"/>
      <c r="L665" s="33"/>
      <c r="M665" s="33"/>
      <c r="N665" s="34"/>
    </row>
    <row r="666" spans="1:14" customFormat="1" ht="30.6">
      <c r="A666" s="55" t="s">
        <v>3758</v>
      </c>
      <c r="B666" s="19" t="s">
        <v>3759</v>
      </c>
      <c r="C666" s="20" t="s">
        <v>3760</v>
      </c>
      <c r="D666" s="36" t="s">
        <v>30</v>
      </c>
      <c r="E666" s="37" t="s">
        <v>3294</v>
      </c>
      <c r="F666" s="43">
        <v>72.960000000000008</v>
      </c>
      <c r="G666" s="100">
        <f t="shared" si="10"/>
        <v>72.959999999999994</v>
      </c>
      <c r="H666" s="101"/>
      <c r="I666" s="100">
        <f>G666*H666</f>
        <v>0</v>
      </c>
      <c r="J666" s="39" t="s">
        <v>3336</v>
      </c>
      <c r="K666" s="40" t="s">
        <v>31</v>
      </c>
      <c r="L666" s="41"/>
      <c r="M666" s="42" t="str">
        <f>HYPERLINK("https://catalog.onliner.by/ledstrip/neonnight/nn131015", "https://catalog.onliner.by/ledstrip/neonnight/nn131015")</f>
        <v>https://catalog.onliner.by/ledstrip/neonnight/nn131015</v>
      </c>
      <c r="N666" s="42" t="str">
        <f>HYPERLINK("https://pronto.by/catalog/product/131-015.html", "https://pronto.by/catalog/product/131-015.html")</f>
        <v>https://pronto.by/catalog/product/131-015.html</v>
      </c>
    </row>
    <row r="667" spans="1:14" customFormat="1" ht="30.6">
      <c r="A667" s="55" t="s">
        <v>3761</v>
      </c>
      <c r="B667" s="19" t="s">
        <v>3762</v>
      </c>
      <c r="C667" s="20" t="s">
        <v>3763</v>
      </c>
      <c r="D667" s="36" t="s">
        <v>30</v>
      </c>
      <c r="E667" s="37" t="s">
        <v>3294</v>
      </c>
      <c r="F667" s="43">
        <v>84.18</v>
      </c>
      <c r="G667" s="100">
        <f t="shared" si="10"/>
        <v>84.18</v>
      </c>
      <c r="H667" s="101"/>
      <c r="I667" s="100">
        <f>G667*H667</f>
        <v>0</v>
      </c>
      <c r="J667" s="39" t="s">
        <v>3336</v>
      </c>
      <c r="K667" s="40" t="s">
        <v>31</v>
      </c>
      <c r="L667" s="41"/>
      <c r="M667" s="42" t="str">
        <f>HYPERLINK("https://catalog.onliner.by/ledstrip/neonnight/nn131013", "https://catalog.onliner.by/ledstrip/neonnight/nn131013")</f>
        <v>https://catalog.onliner.by/ledstrip/neonnight/nn131013</v>
      </c>
      <c r="N667" s="42" t="str">
        <f>HYPERLINK("https://pronto.by/catalog/product/131-013.html", "https://pronto.by/catalog/product/131-013.html")</f>
        <v>https://pronto.by/catalog/product/131-013.html</v>
      </c>
    </row>
    <row r="668" spans="1:14" customFormat="1" ht="41.4">
      <c r="A668" s="55" t="s">
        <v>3764</v>
      </c>
      <c r="B668" s="19" t="s">
        <v>3765</v>
      </c>
      <c r="C668" s="20" t="s">
        <v>3766</v>
      </c>
      <c r="D668" s="36" t="s">
        <v>30</v>
      </c>
      <c r="E668" s="37" t="s">
        <v>3294</v>
      </c>
      <c r="F668" s="43">
        <v>68.16</v>
      </c>
      <c r="G668" s="100">
        <f t="shared" si="10"/>
        <v>68.16</v>
      </c>
      <c r="H668" s="101"/>
      <c r="I668" s="100">
        <f>G668*H668</f>
        <v>0</v>
      </c>
      <c r="J668" s="39" t="s">
        <v>3336</v>
      </c>
      <c r="K668" s="40" t="s">
        <v>31</v>
      </c>
      <c r="L668" s="41"/>
      <c r="M668" s="42" t="str">
        <f>HYPERLINK("https://catalog.onliner.by/ledstrip/neonnight/nn131023", "https://catalog.onliner.by/ledstrip/neonnight/nn131023")</f>
        <v>https://catalog.onliner.by/ledstrip/neonnight/nn131023</v>
      </c>
      <c r="N668" s="42" t="str">
        <f>HYPERLINK("https://pronto.by/catalog/product/131-023.html", "https://pronto.by/catalog/product/131-023.html")</f>
        <v>https://pronto.by/catalog/product/131-023.html</v>
      </c>
    </row>
    <row r="669" spans="1:14" customFormat="1" ht="30.6">
      <c r="A669" s="55" t="s">
        <v>3767</v>
      </c>
      <c r="B669" s="19" t="s">
        <v>3768</v>
      </c>
      <c r="C669" s="20" t="s">
        <v>3769</v>
      </c>
      <c r="D669" s="36" t="s">
        <v>30</v>
      </c>
      <c r="E669" s="37" t="s">
        <v>3294</v>
      </c>
      <c r="F669" s="43">
        <v>76.8</v>
      </c>
      <c r="G669" s="100">
        <f t="shared" si="10"/>
        <v>76.8</v>
      </c>
      <c r="H669" s="101"/>
      <c r="I669" s="100">
        <f>G669*H669</f>
        <v>0</v>
      </c>
      <c r="J669" s="39" t="s">
        <v>3336</v>
      </c>
      <c r="K669" s="40" t="s">
        <v>31</v>
      </c>
      <c r="L669" s="41"/>
      <c r="M669" s="42" t="str">
        <f>HYPERLINK("https://catalog.onliner.by/ledstrip/neonnight/nn131016", "https://catalog.onliner.by/ledstrip/neonnight/nn131016")</f>
        <v>https://catalog.onliner.by/ledstrip/neonnight/nn131016</v>
      </c>
      <c r="N669" s="42" t="str">
        <f>HYPERLINK("https://pronto.by/catalog/product/131-016.html", "https://pronto.by/catalog/product/131-016.html")</f>
        <v>https://pronto.by/catalog/product/131-016.html</v>
      </c>
    </row>
    <row r="670" spans="1:14" customFormat="1" ht="15.6">
      <c r="A670" s="81" t="s">
        <v>3770</v>
      </c>
      <c r="B670" s="67"/>
      <c r="C670" s="67"/>
      <c r="D670" s="32"/>
      <c r="E670" s="32"/>
      <c r="F670" s="32"/>
      <c r="G670" s="52"/>
      <c r="H670" s="52"/>
      <c r="I670" s="52"/>
      <c r="J670" s="32"/>
      <c r="K670" s="32"/>
      <c r="L670" s="33"/>
      <c r="M670" s="33"/>
      <c r="N670" s="34"/>
    </row>
    <row r="671" spans="1:14" customFormat="1" ht="41.4">
      <c r="A671" s="53" t="s">
        <v>1551</v>
      </c>
      <c r="B671" s="60" t="s">
        <v>1552</v>
      </c>
      <c r="C671" s="61" t="s">
        <v>1553</v>
      </c>
      <c r="D671" s="36" t="s">
        <v>30</v>
      </c>
      <c r="E671" s="37" t="s">
        <v>3294</v>
      </c>
      <c r="F671" s="43">
        <v>43.98</v>
      </c>
      <c r="G671" s="100">
        <f t="shared" si="10"/>
        <v>43.98</v>
      </c>
      <c r="H671" s="101"/>
      <c r="I671" s="100">
        <f>G671*H671</f>
        <v>0</v>
      </c>
      <c r="J671" s="39" t="s">
        <v>3336</v>
      </c>
      <c r="K671" s="40" t="s">
        <v>41</v>
      </c>
      <c r="L671" s="41"/>
      <c r="M671" s="42" t="str">
        <f>HYPERLINK("https://catalog.onliner.by/ledstrip/neonnight/131055", "https://catalog.onliner.by/ledstrip/neonnight/131055")</f>
        <v>https://catalog.onliner.by/ledstrip/neonnight/131055</v>
      </c>
      <c r="N671" s="42" t="str">
        <f>HYPERLINK("https://pronto.by/catalog/product/131-055.html", "https://pronto.by/catalog/product/131-055.html")</f>
        <v>https://pronto.by/catalog/product/131-055.html</v>
      </c>
    </row>
    <row r="672" spans="1:14" customFormat="1" ht="41.4">
      <c r="A672" s="53" t="s">
        <v>1554</v>
      </c>
      <c r="B672" s="60" t="s">
        <v>1555</v>
      </c>
      <c r="C672" s="61" t="s">
        <v>1556</v>
      </c>
      <c r="D672" s="36" t="s">
        <v>30</v>
      </c>
      <c r="E672" s="37" t="s">
        <v>3294</v>
      </c>
      <c r="F672" s="43">
        <v>43.98</v>
      </c>
      <c r="G672" s="100">
        <f t="shared" si="10"/>
        <v>43.98</v>
      </c>
      <c r="H672" s="101"/>
      <c r="I672" s="100">
        <f>G672*H672</f>
        <v>0</v>
      </c>
      <c r="J672" s="39" t="s">
        <v>3336</v>
      </c>
      <c r="K672" s="40" t="s">
        <v>31</v>
      </c>
      <c r="L672" s="41"/>
      <c r="M672" s="42" t="str">
        <f>HYPERLINK("https://catalog.onliner.by/ledstrip/neonnight/131056", "https://catalog.onliner.by/ledstrip/neonnight/131056")</f>
        <v>https://catalog.onliner.by/ledstrip/neonnight/131056</v>
      </c>
      <c r="N672" s="42" t="str">
        <f>HYPERLINK("https://pronto.by/catalog/product/131-056.html", "https://pronto.by/catalog/product/131-056.html")</f>
        <v>https://pronto.by/catalog/product/131-056.html</v>
      </c>
    </row>
    <row r="673" spans="1:14" customFormat="1" ht="15.6">
      <c r="A673" s="81" t="s">
        <v>3771</v>
      </c>
      <c r="B673" s="67"/>
      <c r="C673" s="67"/>
      <c r="D673" s="32"/>
      <c r="E673" s="32"/>
      <c r="F673" s="32"/>
      <c r="G673" s="52"/>
      <c r="H673" s="52"/>
      <c r="I673" s="52"/>
      <c r="J673" s="32"/>
      <c r="K673" s="32"/>
      <c r="L673" s="33"/>
      <c r="M673" s="33"/>
      <c r="N673" s="34"/>
    </row>
    <row r="674" spans="1:14" customFormat="1" ht="41.4">
      <c r="A674" s="35" t="s">
        <v>1557</v>
      </c>
      <c r="B674" s="19" t="s">
        <v>1558</v>
      </c>
      <c r="C674" s="20" t="s">
        <v>1559</v>
      </c>
      <c r="D674" s="36" t="s">
        <v>30</v>
      </c>
      <c r="E674" s="37" t="s">
        <v>3294</v>
      </c>
      <c r="F674" s="43">
        <v>25.2</v>
      </c>
      <c r="G674" s="100">
        <f t="shared" si="10"/>
        <v>25.2</v>
      </c>
      <c r="H674" s="101"/>
      <c r="I674" s="100">
        <f>G674*H674</f>
        <v>0</v>
      </c>
      <c r="J674" s="39" t="s">
        <v>3336</v>
      </c>
      <c r="K674" s="40" t="s">
        <v>31</v>
      </c>
      <c r="L674" s="41"/>
      <c r="M674" s="42" t="str">
        <f>HYPERLINK("https://catalog.onliner.by/ledstrip/neonnight/nn131085", "https://catalog.onliner.by/ledstrip/neonnight/nn131085")</f>
        <v>https://catalog.onliner.by/ledstrip/neonnight/nn131085</v>
      </c>
      <c r="N674" s="42" t="str">
        <f>HYPERLINK("https://pronto.by/catalog/product/131-085.html", "https://pronto.by/catalog/product/131-085.html")</f>
        <v>https://pronto.by/catalog/product/131-085.html</v>
      </c>
    </row>
    <row r="675" spans="1:14" customFormat="1" ht="41.4">
      <c r="A675" s="35" t="s">
        <v>3772</v>
      </c>
      <c r="B675" s="19" t="s">
        <v>3773</v>
      </c>
      <c r="C675" s="20" t="s">
        <v>3774</v>
      </c>
      <c r="D675" s="36" t="s">
        <v>30</v>
      </c>
      <c r="E675" s="37" t="s">
        <v>3294</v>
      </c>
      <c r="F675" s="43">
        <v>25.2</v>
      </c>
      <c r="G675" s="100">
        <f t="shared" si="10"/>
        <v>25.2</v>
      </c>
      <c r="H675" s="101"/>
      <c r="I675" s="100">
        <f>G675*H675</f>
        <v>0</v>
      </c>
      <c r="J675" s="39" t="s">
        <v>3336</v>
      </c>
      <c r="K675" s="40" t="s">
        <v>31</v>
      </c>
      <c r="L675" s="41"/>
      <c r="M675" s="42" t="str">
        <f>HYPERLINK("https://catalog.onliner.by/ledstrip/neonnight/nn131081", "https://catalog.onliner.by/ledstrip/neonnight/nn131081")</f>
        <v>https://catalog.onliner.by/ledstrip/neonnight/nn131081</v>
      </c>
      <c r="N675" s="42" t="str">
        <f>HYPERLINK("https://pronto.by/catalog/product/131-081.html", "https://pronto.by/catalog/product/131-081.html")</f>
        <v>https://pronto.by/catalog/product/131-081.html</v>
      </c>
    </row>
    <row r="676" spans="1:14" customFormat="1" ht="41.4">
      <c r="A676" s="35" t="s">
        <v>3775</v>
      </c>
      <c r="B676" s="19" t="s">
        <v>3776</v>
      </c>
      <c r="C676" s="20" t="s">
        <v>3777</v>
      </c>
      <c r="D676" s="36" t="s">
        <v>30</v>
      </c>
      <c r="E676" s="37" t="s">
        <v>3294</v>
      </c>
      <c r="F676" s="43">
        <v>25.2</v>
      </c>
      <c r="G676" s="100">
        <f t="shared" si="10"/>
        <v>25.2</v>
      </c>
      <c r="H676" s="101"/>
      <c r="I676" s="100">
        <f>G676*H676</f>
        <v>0</v>
      </c>
      <c r="J676" s="39" t="s">
        <v>3336</v>
      </c>
      <c r="K676" s="40" t="s">
        <v>31</v>
      </c>
      <c r="L676" s="41"/>
      <c r="M676" s="42" t="str">
        <f>HYPERLINK("https://catalog.onliner.by/ledstrip/neonnight/nn131082", "https://catalog.onliner.by/ledstrip/neonnight/nn131082")</f>
        <v>https://catalog.onliner.by/ledstrip/neonnight/nn131082</v>
      </c>
      <c r="N676" s="42" t="str">
        <f>HYPERLINK("https://pronto.by/catalog/product/131-082.html", "https://pronto.by/catalog/product/131-082.html")</f>
        <v>https://pronto.by/catalog/product/131-082.html</v>
      </c>
    </row>
    <row r="677" spans="1:14" customFormat="1" ht="41.4">
      <c r="A677" s="35" t="s">
        <v>3778</v>
      </c>
      <c r="B677" s="19" t="s">
        <v>3779</v>
      </c>
      <c r="C677" s="20" t="s">
        <v>3780</v>
      </c>
      <c r="D677" s="36" t="s">
        <v>30</v>
      </c>
      <c r="E677" s="37" t="s">
        <v>3294</v>
      </c>
      <c r="F677" s="43">
        <v>25.2</v>
      </c>
      <c r="G677" s="100">
        <f t="shared" si="10"/>
        <v>25.2</v>
      </c>
      <c r="H677" s="101"/>
      <c r="I677" s="100">
        <f>G677*H677</f>
        <v>0</v>
      </c>
      <c r="J677" s="39" t="s">
        <v>3336</v>
      </c>
      <c r="K677" s="40" t="s">
        <v>31</v>
      </c>
      <c r="L677" s="41"/>
      <c r="M677" s="42" t="str">
        <f>HYPERLINK("https://catalog.onliner.by/ledstrip/neonnight/nn131083", "https://catalog.onliner.by/ledstrip/neonnight/nn131083")</f>
        <v>https://catalog.onliner.by/ledstrip/neonnight/nn131083</v>
      </c>
      <c r="N677" s="42" t="str">
        <f>HYPERLINK("https://pronto.by/catalog/product/131-083.html", "https://pronto.by/catalog/product/131-083.html")</f>
        <v>https://pronto.by/catalog/product/131-083.html</v>
      </c>
    </row>
    <row r="678" spans="1:14" customFormat="1" ht="41.4">
      <c r="A678" s="35" t="s">
        <v>1560</v>
      </c>
      <c r="B678" s="19" t="s">
        <v>1561</v>
      </c>
      <c r="C678" s="20" t="s">
        <v>1562</v>
      </c>
      <c r="D678" s="36" t="s">
        <v>30</v>
      </c>
      <c r="E678" s="37" t="s">
        <v>3294</v>
      </c>
      <c r="F678" s="43">
        <v>25.2</v>
      </c>
      <c r="G678" s="100">
        <f t="shared" si="10"/>
        <v>25.2</v>
      </c>
      <c r="H678" s="101"/>
      <c r="I678" s="100">
        <f>G678*H678</f>
        <v>0</v>
      </c>
      <c r="J678" s="39" t="s">
        <v>3336</v>
      </c>
      <c r="K678" s="40" t="s">
        <v>31</v>
      </c>
      <c r="L678" s="41"/>
      <c r="M678" s="42" t="str">
        <f>HYPERLINK("https://catalog.onliner.by/ledstrip/neonnight/131086", "https://catalog.onliner.by/ledstrip/neonnight/131086")</f>
        <v>https://catalog.onliner.by/ledstrip/neonnight/131086</v>
      </c>
      <c r="N678" s="42" t="str">
        <f>HYPERLINK("https://pronto.by/catalog/product/131-086.html", "https://pronto.by/catalog/product/131-086.html")</f>
        <v>https://pronto.by/catalog/product/131-086.html</v>
      </c>
    </row>
    <row r="679" spans="1:14" customFormat="1" ht="15.6">
      <c r="A679" s="81" t="s">
        <v>3781</v>
      </c>
      <c r="B679" s="67"/>
      <c r="C679" s="67"/>
      <c r="D679" s="32"/>
      <c r="E679" s="32"/>
      <c r="F679" s="32"/>
      <c r="G679" s="52"/>
      <c r="H679" s="52"/>
      <c r="I679" s="52"/>
      <c r="J679" s="32"/>
      <c r="K679" s="32"/>
      <c r="L679" s="33"/>
      <c r="M679" s="33"/>
      <c r="N679" s="34"/>
    </row>
    <row r="680" spans="1:14" customFormat="1" ht="55.2">
      <c r="A680" s="35" t="s">
        <v>1563</v>
      </c>
      <c r="B680" s="19" t="s">
        <v>1564</v>
      </c>
      <c r="C680" s="20" t="s">
        <v>1565</v>
      </c>
      <c r="D680" s="36" t="s">
        <v>30</v>
      </c>
      <c r="E680" s="37" t="s">
        <v>3293</v>
      </c>
      <c r="F680" s="43">
        <v>22.92</v>
      </c>
      <c r="G680" s="100">
        <f t="shared" si="10"/>
        <v>22.92</v>
      </c>
      <c r="H680" s="101"/>
      <c r="I680" s="100">
        <f>G680*H680</f>
        <v>0</v>
      </c>
      <c r="J680" s="39" t="s">
        <v>3336</v>
      </c>
      <c r="K680" s="40" t="s">
        <v>31</v>
      </c>
      <c r="L680" s="41"/>
      <c r="M680" s="42" t="str">
        <f>HYPERLINK("https://catalog.onliner.by/ledstrip/neonnight/131065", "https://catalog.onliner.by/ledstrip/neonnight/131065")</f>
        <v>https://catalog.onliner.by/ledstrip/neonnight/131065</v>
      </c>
      <c r="N680" s="42" t="str">
        <f>HYPERLINK("https://pronto.by/catalog/product/131-065.html", "https://pronto.by/catalog/product/131-065.html")</f>
        <v>https://pronto.by/catalog/product/131-065.html</v>
      </c>
    </row>
    <row r="681" spans="1:14" customFormat="1" ht="15.6">
      <c r="A681" s="81" t="s">
        <v>3782</v>
      </c>
      <c r="B681" s="67"/>
      <c r="C681" s="67"/>
      <c r="D681" s="32"/>
      <c r="E681" s="32"/>
      <c r="F681" s="32"/>
      <c r="G681" s="52"/>
      <c r="H681" s="52"/>
      <c r="I681" s="52"/>
      <c r="J681" s="32"/>
      <c r="K681" s="32"/>
      <c r="L681" s="33"/>
      <c r="M681" s="33"/>
      <c r="N681" s="34"/>
    </row>
    <row r="682" spans="1:14" customFormat="1" ht="71.400000000000006">
      <c r="A682" s="45" t="s">
        <v>3783</v>
      </c>
      <c r="B682" s="46" t="s">
        <v>3784</v>
      </c>
      <c r="C682" s="54" t="s">
        <v>3785</v>
      </c>
      <c r="D682" s="47" t="s">
        <v>30</v>
      </c>
      <c r="E682" s="48" t="s">
        <v>3294</v>
      </c>
      <c r="F682" s="43">
        <v>22.5</v>
      </c>
      <c r="G682" s="100">
        <f t="shared" si="10"/>
        <v>22.5</v>
      </c>
      <c r="H682" s="101"/>
      <c r="I682" s="100">
        <f>G682*H682</f>
        <v>0</v>
      </c>
      <c r="J682" s="39" t="s">
        <v>3336</v>
      </c>
      <c r="K682" s="40" t="s">
        <v>31</v>
      </c>
      <c r="L682" s="41"/>
      <c r="M682" s="44" t="e">
        <f>VLOOKUP(A682,#REF!,4,0)</f>
        <v>#REF!</v>
      </c>
      <c r="N682" s="42" t="str">
        <f>HYPERLINK("https://pronto.by/catalog/prazdnichnaya-svetotehnika/professional-professionalnye-proekty/gibkiy-neon/gibkiy-neon-8h16-mm/131-125.html", "https://pronto.by/catalog/prazdnichnaya-svetotehnika/professional-professionalnye-proekty/gibkiy-neon/gibkiy-neon-8h16-mm/131-125.html")</f>
        <v>https://pronto.by/catalog/prazdnichnaya-svetotehnika/professional-professionalnye-proekty/gibkiy-neon/gibkiy-neon-8h16-mm/131-125.html</v>
      </c>
    </row>
    <row r="683" spans="1:14" customFormat="1" ht="71.400000000000006">
      <c r="A683" s="45" t="s">
        <v>1566</v>
      </c>
      <c r="B683" s="46" t="s">
        <v>1567</v>
      </c>
      <c r="C683" s="54" t="s">
        <v>1568</v>
      </c>
      <c r="D683" s="47" t="s">
        <v>30</v>
      </c>
      <c r="E683" s="48" t="s">
        <v>3294</v>
      </c>
      <c r="F683" s="43">
        <v>22.5</v>
      </c>
      <c r="G683" s="100">
        <f t="shared" si="10"/>
        <v>22.5</v>
      </c>
      <c r="H683" s="101"/>
      <c r="I683" s="100">
        <f>G683*H683</f>
        <v>0</v>
      </c>
      <c r="J683" s="39" t="s">
        <v>3336</v>
      </c>
      <c r="K683" s="40" t="s">
        <v>31</v>
      </c>
      <c r="L683" s="41"/>
      <c r="M683" s="44" t="e">
        <f>VLOOKUP(A683,#REF!,4,0)</f>
        <v>#REF!</v>
      </c>
      <c r="N683" s="42" t="str">
        <f>HYPERLINK("https://pronto.by/catalog/prazdnichnaya-svetotehnika/professional-professionalnye-proekty/gibkiy-neon/gibkiy-neon-8h16-mm/131-126.html", "https://pronto.by/catalog/prazdnichnaya-svetotehnika/professional-professionalnye-proekty/gibkiy-neon/gibkiy-neon-8h16-mm/131-126.html")</f>
        <v>https://pronto.by/catalog/prazdnichnaya-svetotehnika/professional-professionalnye-proekty/gibkiy-neon/gibkiy-neon-8h16-mm/131-126.html</v>
      </c>
    </row>
    <row r="684" spans="1:14" customFormat="1" ht="71.400000000000006">
      <c r="A684" s="35" t="s">
        <v>1569</v>
      </c>
      <c r="B684" s="19" t="s">
        <v>1570</v>
      </c>
      <c r="C684" s="20" t="s">
        <v>1571</v>
      </c>
      <c r="D684" s="36" t="s">
        <v>30</v>
      </c>
      <c r="E684" s="37" t="s">
        <v>3294</v>
      </c>
      <c r="F684" s="43">
        <v>18.420000000000002</v>
      </c>
      <c r="G684" s="100">
        <f t="shared" si="10"/>
        <v>18.420000000000002</v>
      </c>
      <c r="H684" s="101"/>
      <c r="I684" s="100">
        <f>G684*H684</f>
        <v>0</v>
      </c>
      <c r="J684" s="39" t="s">
        <v>3336</v>
      </c>
      <c r="K684" s="40" t="s">
        <v>31</v>
      </c>
      <c r="L684" s="41"/>
      <c r="M684" s="42" t="s">
        <v>3786</v>
      </c>
      <c r="N684" s="42" t="str">
        <f>HYPERLINK("https://pronto.by/catalog/prazdnichnaya-svetotehnika/professional-professionalnye-proekty/gibkiy-neon/gibkiy-neon-8h16-mm/131-115.html", "https://pronto.by/catalog/prazdnichnaya-svetotehnika/professional-professionalnye-proekty/gibkiy-neon/gibkiy-neon-8h16-mm/131-115.html")</f>
        <v>https://pronto.by/catalog/prazdnichnaya-svetotehnika/professional-professionalnye-proekty/gibkiy-neon/gibkiy-neon-8h16-mm/131-115.html</v>
      </c>
    </row>
    <row r="685" spans="1:14" customFormat="1" ht="71.400000000000006">
      <c r="A685" s="35" t="s">
        <v>1572</v>
      </c>
      <c r="B685" s="19" t="s">
        <v>1573</v>
      </c>
      <c r="C685" s="20" t="s">
        <v>1574</v>
      </c>
      <c r="D685" s="36" t="s">
        <v>30</v>
      </c>
      <c r="E685" s="37" t="s">
        <v>3294</v>
      </c>
      <c r="F685" s="43">
        <v>18.420000000000002</v>
      </c>
      <c r="G685" s="100">
        <f t="shared" si="10"/>
        <v>18.420000000000002</v>
      </c>
      <c r="H685" s="101"/>
      <c r="I685" s="100">
        <f>G685*H685</f>
        <v>0</v>
      </c>
      <c r="J685" s="39" t="s">
        <v>3336</v>
      </c>
      <c r="K685" s="40" t="s">
        <v>31</v>
      </c>
      <c r="L685" s="41"/>
      <c r="M685" s="42" t="s">
        <v>3787</v>
      </c>
      <c r="N685" s="42" t="str">
        <f>HYPERLINK("https://pronto.by/catalog/prazdnichnaya-svetotehnika/professional-professionalnye-proekty/gibkiy-neon/gibkiy-neon-8h16-mm/131-116.html", "https://pronto.by/catalog/prazdnichnaya-svetotehnika/professional-professionalnye-proekty/gibkiy-neon/gibkiy-neon-8h16-mm/131-116.html")</f>
        <v>https://pronto.by/catalog/prazdnichnaya-svetotehnika/professional-professionalnye-proekty/gibkiy-neon/gibkiy-neon-8h16-mm/131-116.html</v>
      </c>
    </row>
    <row r="686" spans="1:14" customFormat="1" ht="41.4">
      <c r="A686" s="35" t="s">
        <v>1575</v>
      </c>
      <c r="B686" s="19" t="s">
        <v>1576</v>
      </c>
      <c r="C686" s="20" t="s">
        <v>1577</v>
      </c>
      <c r="D686" s="36" t="s">
        <v>30</v>
      </c>
      <c r="E686" s="37" t="s">
        <v>3294</v>
      </c>
      <c r="F686" s="43">
        <v>18.420000000000002</v>
      </c>
      <c r="G686" s="100">
        <f t="shared" si="10"/>
        <v>18.420000000000002</v>
      </c>
      <c r="H686" s="101"/>
      <c r="I686" s="100">
        <f>G686*H686</f>
        <v>0</v>
      </c>
      <c r="J686" s="39" t="s">
        <v>3336</v>
      </c>
      <c r="K686" s="40" t="s">
        <v>31</v>
      </c>
      <c r="L686" s="41"/>
      <c r="M686" s="42" t="str">
        <f>HYPERLINK("https://catalog.onliner.by/ledstrip/neonnight/nn131095", "https://catalog.onliner.by/ledstrip/neonnight/nn131095")</f>
        <v>https://catalog.onliner.by/ledstrip/neonnight/nn131095</v>
      </c>
      <c r="N686" s="42" t="str">
        <f>HYPERLINK("https://pronto.by/catalog/product/131-095.html", "https://pronto.by/catalog/product/131-095.html")</f>
        <v>https://pronto.by/catalog/product/131-095.html</v>
      </c>
    </row>
    <row r="687" spans="1:14" customFormat="1" ht="71.400000000000006">
      <c r="A687" s="35" t="s">
        <v>1578</v>
      </c>
      <c r="B687" s="19" t="s">
        <v>1579</v>
      </c>
      <c r="C687" s="20" t="s">
        <v>1580</v>
      </c>
      <c r="D687" s="36" t="s">
        <v>30</v>
      </c>
      <c r="E687" s="37" t="s">
        <v>3293</v>
      </c>
      <c r="F687" s="43">
        <v>18.420000000000002</v>
      </c>
      <c r="G687" s="100">
        <f t="shared" si="10"/>
        <v>18.420000000000002</v>
      </c>
      <c r="H687" s="101"/>
      <c r="I687" s="100">
        <f>G687*H687</f>
        <v>0</v>
      </c>
      <c r="J687" s="39" t="s">
        <v>3336</v>
      </c>
      <c r="K687" s="40" t="s">
        <v>31</v>
      </c>
      <c r="L687" s="41"/>
      <c r="M687" s="42" t="str">
        <f>HYPERLINK("https://catalog.onliner.by/ledstrip/neonnight/131091", "https://catalog.onliner.by/ledstrip/neonnight/131091")</f>
        <v>https://catalog.onliner.by/ledstrip/neonnight/131091</v>
      </c>
      <c r="N687" s="42" t="str">
        <f>HYPERLINK("https://pronto.by/catalog/prazdnichnaya-svetotehnika/professional-professionalnye-proekty/gibkiy-neon/gibkiy-neon-8h16-mm/131-091.html", "https://pronto.by/catalog/prazdnichnaya-svetotehnika/professional-professionalnye-proekty/gibkiy-neon/gibkiy-neon-8h16-mm/131-091.html")</f>
        <v>https://pronto.by/catalog/prazdnichnaya-svetotehnika/professional-professionalnye-proekty/gibkiy-neon/gibkiy-neon-8h16-mm/131-091.html</v>
      </c>
    </row>
    <row r="688" spans="1:14" customFormat="1" ht="41.4">
      <c r="A688" s="35" t="s">
        <v>3788</v>
      </c>
      <c r="B688" s="19" t="s">
        <v>3789</v>
      </c>
      <c r="C688" s="20" t="s">
        <v>3790</v>
      </c>
      <c r="D688" s="36" t="s">
        <v>30</v>
      </c>
      <c r="E688" s="37" t="s">
        <v>3293</v>
      </c>
      <c r="F688" s="43">
        <v>18.420000000000002</v>
      </c>
      <c r="G688" s="100">
        <f t="shared" si="10"/>
        <v>18.420000000000002</v>
      </c>
      <c r="H688" s="101"/>
      <c r="I688" s="100">
        <f>G688*H688</f>
        <v>0</v>
      </c>
      <c r="J688" s="39" t="s">
        <v>3336</v>
      </c>
      <c r="K688" s="40" t="s">
        <v>31</v>
      </c>
      <c r="L688" s="41"/>
      <c r="M688" s="42" t="str">
        <f>HYPERLINK("https://catalog.onliner.by/ledstrip/neonnight/nn131092", "https://catalog.onliner.by/ledstrip/neonnight/nn131092")</f>
        <v>https://catalog.onliner.by/ledstrip/neonnight/nn131092</v>
      </c>
      <c r="N688" s="42" t="str">
        <f>HYPERLINK("https://pronto.by/catalog/product/131-092.html", "https://pronto.by/catalog/product/131-092.html")</f>
        <v>https://pronto.by/catalog/product/131-092.html</v>
      </c>
    </row>
    <row r="689" spans="1:14" customFormat="1" ht="41.4">
      <c r="A689" s="35" t="s">
        <v>1581</v>
      </c>
      <c r="B689" s="19" t="s">
        <v>1582</v>
      </c>
      <c r="C689" s="20" t="s">
        <v>1583</v>
      </c>
      <c r="D689" s="36" t="s">
        <v>30</v>
      </c>
      <c r="E689" s="37" t="s">
        <v>3293</v>
      </c>
      <c r="F689" s="43">
        <v>18.420000000000002</v>
      </c>
      <c r="G689" s="100">
        <f t="shared" si="10"/>
        <v>18.420000000000002</v>
      </c>
      <c r="H689" s="101"/>
      <c r="I689" s="100">
        <f>G689*H689</f>
        <v>0</v>
      </c>
      <c r="J689" s="39" t="s">
        <v>3336</v>
      </c>
      <c r="K689" s="40" t="s">
        <v>31</v>
      </c>
      <c r="L689" s="41"/>
      <c r="M689" s="42" t="str">
        <f>HYPERLINK("https://catalog.onliner.by/ledstrip/neonnight/nn131093", "https://catalog.onliner.by/ledstrip/neonnight/nn131093")</f>
        <v>https://catalog.onliner.by/ledstrip/neonnight/nn131093</v>
      </c>
      <c r="N689" s="42" t="str">
        <f>HYPERLINK("https://pronto.by/catalog/product/131-093.html", "https://pronto.by/catalog/product/131-093.html")</f>
        <v>https://pronto.by/catalog/product/131-093.html</v>
      </c>
    </row>
    <row r="690" spans="1:14" customFormat="1" ht="41.4">
      <c r="A690" s="35" t="s">
        <v>1584</v>
      </c>
      <c r="B690" s="19" t="s">
        <v>1585</v>
      </c>
      <c r="C690" s="20" t="s">
        <v>1586</v>
      </c>
      <c r="D690" s="36" t="s">
        <v>30</v>
      </c>
      <c r="E690" s="37" t="s">
        <v>3294</v>
      </c>
      <c r="F690" s="43">
        <v>18.420000000000002</v>
      </c>
      <c r="G690" s="100">
        <f t="shared" si="10"/>
        <v>18.420000000000002</v>
      </c>
      <c r="H690" s="101"/>
      <c r="I690" s="100">
        <f>G690*H690</f>
        <v>0</v>
      </c>
      <c r="J690" s="39" t="s">
        <v>3336</v>
      </c>
      <c r="K690" s="40" t="s">
        <v>31</v>
      </c>
      <c r="L690" s="41"/>
      <c r="M690" s="42" t="str">
        <f>HYPERLINK("https://catalog.onliner.by/ledstrip/neonnight/nn131096", "https://catalog.onliner.by/ledstrip/neonnight/nn131096")</f>
        <v>https://catalog.onliner.by/ledstrip/neonnight/nn131096</v>
      </c>
      <c r="N690" s="42" t="str">
        <f>HYPERLINK("https://pronto.by/catalog/product/131-096.html", "https://pronto.by/catalog/product/131-096.html")</f>
        <v>https://pronto.by/catalog/product/131-096.html</v>
      </c>
    </row>
    <row r="691" spans="1:14" customFormat="1" ht="30.6">
      <c r="A691" s="35" t="s">
        <v>1587</v>
      </c>
      <c r="B691" s="19" t="s">
        <v>1588</v>
      </c>
      <c r="C691" s="20" t="s">
        <v>1589</v>
      </c>
      <c r="D691" s="36" t="s">
        <v>30</v>
      </c>
      <c r="E691" s="37" t="s">
        <v>3293</v>
      </c>
      <c r="F691" s="43">
        <v>16.86</v>
      </c>
      <c r="G691" s="100">
        <f t="shared" si="10"/>
        <v>16.86</v>
      </c>
      <c r="H691" s="101"/>
      <c r="I691" s="100">
        <f>G691*H691</f>
        <v>0</v>
      </c>
      <c r="J691" s="39" t="s">
        <v>3336</v>
      </c>
      <c r="K691" s="40" t="s">
        <v>31</v>
      </c>
      <c r="L691" s="41"/>
      <c r="M691" s="42" t="str">
        <f>HYPERLINK("https://catalog.onliner.by/ledstrip/neonnight/nnn131045", "https://catalog.onliner.by/ledstrip/neonnight/nnn131045")</f>
        <v>https://catalog.onliner.by/ledstrip/neonnight/nnn131045</v>
      </c>
      <c r="N691" s="42" t="str">
        <f>HYPERLINK("https://pronto.by/catalog/product/131-045.html", "https://pronto.by/catalog/product/131-045.html")</f>
        <v>https://pronto.by/catalog/product/131-045.html</v>
      </c>
    </row>
    <row r="692" spans="1:14" customFormat="1" ht="55.2">
      <c r="A692" s="53" t="s">
        <v>3791</v>
      </c>
      <c r="B692" s="60"/>
      <c r="C692" s="61" t="s">
        <v>3792</v>
      </c>
      <c r="D692" s="36" t="s">
        <v>30</v>
      </c>
      <c r="E692" s="37" t="s">
        <v>3293</v>
      </c>
      <c r="F692" s="43">
        <v>16.86</v>
      </c>
      <c r="G692" s="100">
        <f t="shared" si="10"/>
        <v>16.86</v>
      </c>
      <c r="H692" s="101"/>
      <c r="I692" s="100">
        <f>G692*H692</f>
        <v>0</v>
      </c>
      <c r="J692" s="39" t="s">
        <v>3336</v>
      </c>
      <c r="K692" s="40"/>
      <c r="L692" s="41"/>
      <c r="M692" s="44"/>
      <c r="N692" s="44"/>
    </row>
    <row r="693" spans="1:14" customFormat="1" ht="30.6">
      <c r="A693" s="35" t="s">
        <v>1590</v>
      </c>
      <c r="B693" s="19" t="s">
        <v>1591</v>
      </c>
      <c r="C693" s="20" t="s">
        <v>1592</v>
      </c>
      <c r="D693" s="36" t="s">
        <v>30</v>
      </c>
      <c r="E693" s="37" t="s">
        <v>3293</v>
      </c>
      <c r="F693" s="43">
        <v>16.86</v>
      </c>
      <c r="G693" s="100">
        <f t="shared" si="10"/>
        <v>16.86</v>
      </c>
      <c r="H693" s="101"/>
      <c r="I693" s="100">
        <f>G693*H693</f>
        <v>0</v>
      </c>
      <c r="J693" s="39" t="s">
        <v>3336</v>
      </c>
      <c r="K693" s="40" t="s">
        <v>31</v>
      </c>
      <c r="L693" s="41"/>
      <c r="M693" s="42" t="str">
        <f>HYPERLINK("https://catalog.onliner.by/ledstrip/neonnight/nn131043", "https://catalog.onliner.by/ledstrip/neonnight/nn131043")</f>
        <v>https://catalog.onliner.by/ledstrip/neonnight/nn131043</v>
      </c>
      <c r="N693" s="42" t="str">
        <f>HYPERLINK("https://pronto.by/catalog/product/131-043.html", "https://pronto.by/catalog/product/131-043.html")</f>
        <v>https://pronto.by/catalog/product/131-043.html</v>
      </c>
    </row>
    <row r="694" spans="1:14" customFormat="1" ht="55.2">
      <c r="A694" s="53" t="s">
        <v>3793</v>
      </c>
      <c r="B694" s="60"/>
      <c r="C694" s="61" t="s">
        <v>3794</v>
      </c>
      <c r="D694" s="36" t="s">
        <v>30</v>
      </c>
      <c r="E694" s="37" t="s">
        <v>3293</v>
      </c>
      <c r="F694" s="43">
        <v>16.86</v>
      </c>
      <c r="G694" s="100">
        <f t="shared" si="10"/>
        <v>16.86</v>
      </c>
      <c r="H694" s="101"/>
      <c r="I694" s="100">
        <f>G694*H694</f>
        <v>0</v>
      </c>
      <c r="J694" s="39" t="s">
        <v>3336</v>
      </c>
      <c r="K694" s="40"/>
      <c r="L694" s="41"/>
      <c r="M694" s="44"/>
      <c r="N694" s="44"/>
    </row>
    <row r="695" spans="1:14" customFormat="1" ht="41.4">
      <c r="A695" s="35" t="s">
        <v>1593</v>
      </c>
      <c r="B695" s="19" t="s">
        <v>1594</v>
      </c>
      <c r="C695" s="20" t="s">
        <v>1595</v>
      </c>
      <c r="D695" s="36" t="s">
        <v>30</v>
      </c>
      <c r="E695" s="37" t="s">
        <v>3293</v>
      </c>
      <c r="F695" s="43">
        <v>16.86</v>
      </c>
      <c r="G695" s="100">
        <f t="shared" si="10"/>
        <v>16.86</v>
      </c>
      <c r="H695" s="101"/>
      <c r="I695" s="100">
        <f>G695*H695</f>
        <v>0</v>
      </c>
      <c r="J695" s="39" t="s">
        <v>3336</v>
      </c>
      <c r="K695" s="40" t="s">
        <v>31</v>
      </c>
      <c r="L695" s="41"/>
      <c r="M695" s="42" t="str">
        <f>HYPERLINK("https://catalog.onliner.by/ledstrip/neonnight/nn131046", "https://catalog.onliner.by/ledstrip/neonnight/nn131046")</f>
        <v>https://catalog.onliner.by/ledstrip/neonnight/nn131046</v>
      </c>
      <c r="N695" s="42" t="str">
        <f>HYPERLINK("https://pronto.by/catalog/product/131-046.html", "https://pronto.by/catalog/product/131-046.html")</f>
        <v>https://pronto.by/catalog/product/131-046.html</v>
      </c>
    </row>
    <row r="696" spans="1:14" customFormat="1" ht="15.6">
      <c r="A696" s="81" t="s">
        <v>3795</v>
      </c>
      <c r="B696" s="67"/>
      <c r="C696" s="67"/>
      <c r="D696" s="32"/>
      <c r="E696" s="32"/>
      <c r="F696" s="32"/>
      <c r="G696" s="52"/>
      <c r="H696" s="52"/>
      <c r="I696" s="52"/>
      <c r="J696" s="32"/>
      <c r="K696" s="32"/>
      <c r="L696" s="33"/>
      <c r="M696" s="33"/>
      <c r="N696" s="34"/>
    </row>
    <row r="697" spans="1:14" customFormat="1" ht="30.6">
      <c r="A697" s="35" t="s">
        <v>1596</v>
      </c>
      <c r="B697" s="19" t="s">
        <v>1597</v>
      </c>
      <c r="C697" s="20" t="s">
        <v>1598</v>
      </c>
      <c r="D697" s="36" t="s">
        <v>30</v>
      </c>
      <c r="E697" s="37" t="s">
        <v>3294</v>
      </c>
      <c r="F697" s="43">
        <v>25.2</v>
      </c>
      <c r="G697" s="100">
        <f t="shared" si="10"/>
        <v>25.2</v>
      </c>
      <c r="H697" s="101"/>
      <c r="I697" s="100">
        <f>G697*H697</f>
        <v>0</v>
      </c>
      <c r="J697" s="39" t="s">
        <v>3336</v>
      </c>
      <c r="K697" s="40" t="s">
        <v>31</v>
      </c>
      <c r="L697" s="41"/>
      <c r="M697" s="42" t="str">
        <f>HYPERLINK("https://catalog.onliner.by/ledstrip/neonnight/131315", "https://catalog.onliner.by/ledstrip/neonnight/131315")</f>
        <v>https://catalog.onliner.by/ledstrip/neonnight/131315</v>
      </c>
      <c r="N697" s="42" t="str">
        <f>HYPERLINK("https://pronto.by/catalog/product/131-315.html", "https://pronto.by/catalog/product/131-315.html")</f>
        <v>https://pronto.by/catalog/product/131-315.html</v>
      </c>
    </row>
    <row r="698" spans="1:14" customFormat="1" ht="30.6">
      <c r="A698" s="35" t="s">
        <v>1599</v>
      </c>
      <c r="B698" s="19" t="s">
        <v>1600</v>
      </c>
      <c r="C698" s="20" t="s">
        <v>1601</v>
      </c>
      <c r="D698" s="36" t="s">
        <v>30</v>
      </c>
      <c r="E698" s="37" t="s">
        <v>3294</v>
      </c>
      <c r="F698" s="43">
        <v>25.2</v>
      </c>
      <c r="G698" s="100">
        <f t="shared" si="10"/>
        <v>25.2</v>
      </c>
      <c r="H698" s="101"/>
      <c r="I698" s="100">
        <f>G698*H698</f>
        <v>0</v>
      </c>
      <c r="J698" s="39" t="s">
        <v>3336</v>
      </c>
      <c r="K698" s="40" t="s">
        <v>31</v>
      </c>
      <c r="L698" s="41"/>
      <c r="M698" s="42" t="str">
        <f>HYPERLINK("https://catalog.onliner.by/ledstrip/neonnight/131316", "https://catalog.onliner.by/ledstrip/neonnight/131316")</f>
        <v>https://catalog.onliner.by/ledstrip/neonnight/131316</v>
      </c>
      <c r="N698" s="42" t="str">
        <f>HYPERLINK("https://pronto.by/catalog/product/131-316.html", "https://pronto.by/catalog/product/131-316.html")</f>
        <v>https://pronto.by/catalog/product/131-316.html</v>
      </c>
    </row>
    <row r="699" spans="1:14" customFormat="1" ht="15.6">
      <c r="A699" s="81" t="s">
        <v>3796</v>
      </c>
      <c r="B699" s="67"/>
      <c r="C699" s="67"/>
      <c r="D699" s="32"/>
      <c r="E699" s="32"/>
      <c r="F699" s="32"/>
      <c r="G699" s="52"/>
      <c r="H699" s="52"/>
      <c r="I699" s="52"/>
      <c r="J699" s="32"/>
      <c r="K699" s="32"/>
      <c r="L699" s="33"/>
      <c r="M699" s="33"/>
      <c r="N699" s="34"/>
    </row>
    <row r="700" spans="1:14" customFormat="1" ht="30.6">
      <c r="A700" s="35" t="s">
        <v>3797</v>
      </c>
      <c r="B700" s="19" t="s">
        <v>3798</v>
      </c>
      <c r="C700" s="20" t="s">
        <v>3799</v>
      </c>
      <c r="D700" s="36" t="s">
        <v>30</v>
      </c>
      <c r="E700" s="37" t="s">
        <v>3294</v>
      </c>
      <c r="F700" s="43">
        <v>86.7</v>
      </c>
      <c r="G700" s="100">
        <f t="shared" si="10"/>
        <v>86.7</v>
      </c>
      <c r="H700" s="101"/>
      <c r="I700" s="100">
        <f>G700*H700</f>
        <v>0</v>
      </c>
      <c r="J700" s="39" t="s">
        <v>3336</v>
      </c>
      <c r="K700" s="40" t="s">
        <v>31</v>
      </c>
      <c r="L700" s="41"/>
      <c r="M700" s="42" t="str">
        <f>HYPERLINK("https://catalog.onliner.by/ledstrip/neonnight/nn131032", "https://catalog.onliner.by/ledstrip/neonnight/nn131032")</f>
        <v>https://catalog.onliner.by/ledstrip/neonnight/nn131032</v>
      </c>
      <c r="N700" s="42" t="str">
        <f>HYPERLINK("https://pronto.by/catalog/product/131-032.html", "https://pronto.by/catalog/product/131-032.html")</f>
        <v>https://pronto.by/catalog/product/131-032.html</v>
      </c>
    </row>
    <row r="701" spans="1:14" customFormat="1" ht="30.6">
      <c r="A701" s="35" t="s">
        <v>1602</v>
      </c>
      <c r="B701" s="19" t="s">
        <v>1603</v>
      </c>
      <c r="C701" s="20" t="s">
        <v>1604</v>
      </c>
      <c r="D701" s="36" t="s">
        <v>30</v>
      </c>
      <c r="E701" s="37" t="s">
        <v>3294</v>
      </c>
      <c r="F701" s="43">
        <v>77.040000000000006</v>
      </c>
      <c r="G701" s="100">
        <f t="shared" si="10"/>
        <v>77.040000000000006</v>
      </c>
      <c r="H701" s="101"/>
      <c r="I701" s="100">
        <f>G701*H701</f>
        <v>0</v>
      </c>
      <c r="J701" s="39" t="s">
        <v>3336</v>
      </c>
      <c r="K701" s="40" t="s">
        <v>31</v>
      </c>
      <c r="L701" s="41"/>
      <c r="M701" s="42" t="str">
        <f>HYPERLINK("https://catalog.onliner.by/ledstrip/neonnight/nn131037", "https://catalog.onliner.by/ledstrip/neonnight/nn131037")</f>
        <v>https://catalog.onliner.by/ledstrip/neonnight/nn131037</v>
      </c>
      <c r="N701" s="42" t="str">
        <f>HYPERLINK("https://pronto.by/catalog/product/131-037.html", "https://pronto.by/catalog/product/131-037.html")</f>
        <v>https://pronto.by/catalog/product/131-037.html</v>
      </c>
    </row>
    <row r="702" spans="1:14" customFormat="1" ht="15.6">
      <c r="A702" s="81" t="s">
        <v>3800</v>
      </c>
      <c r="B702" s="67"/>
      <c r="C702" s="67"/>
      <c r="D702" s="32"/>
      <c r="E702" s="32"/>
      <c r="F702" s="32"/>
      <c r="G702" s="52"/>
      <c r="H702" s="52"/>
      <c r="I702" s="52"/>
      <c r="J702" s="32"/>
      <c r="K702" s="32"/>
      <c r="L702" s="33"/>
      <c r="M702" s="33"/>
      <c r="N702" s="34"/>
    </row>
    <row r="703" spans="1:14" customFormat="1" ht="81.599999999999994">
      <c r="A703" s="35" t="s">
        <v>1605</v>
      </c>
      <c r="B703" s="19" t="s">
        <v>1606</v>
      </c>
      <c r="C703" s="20" t="s">
        <v>1607</v>
      </c>
      <c r="D703" s="36" t="s">
        <v>28</v>
      </c>
      <c r="E703" s="37" t="s">
        <v>3260</v>
      </c>
      <c r="F703" s="43">
        <v>15.420000000000002</v>
      </c>
      <c r="G703" s="100">
        <f t="shared" si="10"/>
        <v>15.42</v>
      </c>
      <c r="H703" s="101"/>
      <c r="I703" s="100">
        <f>G703*H703</f>
        <v>0</v>
      </c>
      <c r="J703" s="39" t="s">
        <v>3336</v>
      </c>
      <c r="K703" s="40" t="s">
        <v>41</v>
      </c>
      <c r="L703" s="41"/>
      <c r="M703" s="44" t="e">
        <f>VLOOKUP(A703,#REF!,4,0)</f>
        <v>#REF!</v>
      </c>
      <c r="N703" s="42" t="str">
        <f>HYPERLINK("https://pronto.by/catalog/prazdnichnaya-svetotehnika/professional-professionalnye-proekty/gibkiy-neon/aksessuary-dlya-gibkogo-neona/134-063.html", "https://pronto.by/catalog/prazdnichnaya-svetotehnika/professional-professionalnye-proekty/gibkiy-neon/aksessuary-dlya-gibkogo-neona/134-063.html")</f>
        <v>https://pronto.by/catalog/prazdnichnaya-svetotehnika/professional-professionalnye-proekty/gibkiy-neon/aksessuary-dlya-gibkogo-neona/134-063.html</v>
      </c>
    </row>
    <row r="704" spans="1:14" customFormat="1" ht="81.599999999999994">
      <c r="A704" s="35" t="s">
        <v>1608</v>
      </c>
      <c r="B704" s="19" t="s">
        <v>1609</v>
      </c>
      <c r="C704" s="20" t="s">
        <v>1610</v>
      </c>
      <c r="D704" s="36" t="s">
        <v>28</v>
      </c>
      <c r="E704" s="37" t="s">
        <v>3260</v>
      </c>
      <c r="F704" s="43">
        <v>17.16</v>
      </c>
      <c r="G704" s="100">
        <f t="shared" si="10"/>
        <v>17.16</v>
      </c>
      <c r="H704" s="101"/>
      <c r="I704" s="100">
        <f>G704*H704</f>
        <v>0</v>
      </c>
      <c r="J704" s="39" t="s">
        <v>3336</v>
      </c>
      <c r="K704" s="40" t="s">
        <v>41</v>
      </c>
      <c r="L704" s="41"/>
      <c r="M704" s="44" t="e">
        <f>VLOOKUP(A704,#REF!,4,0)</f>
        <v>#REF!</v>
      </c>
      <c r="N704" s="42" t="str">
        <f>HYPERLINK("https://pronto.by/catalog/prazdnichnaya-svetotehnika/professional-professionalnye-proekty/gibkiy-neon/aksessuary-dlya-gibkogo-neona/134-061.html", "https://pronto.by/catalog/prazdnichnaya-svetotehnika/professional-professionalnye-proekty/gibkiy-neon/aksessuary-dlya-gibkogo-neona/134-061.html")</f>
        <v>https://pronto.by/catalog/prazdnichnaya-svetotehnika/professional-professionalnye-proekty/gibkiy-neon/aksessuary-dlya-gibkogo-neona/134-061.html</v>
      </c>
    </row>
    <row r="705" spans="1:14" customFormat="1" ht="81.599999999999994">
      <c r="A705" s="35" t="s">
        <v>1611</v>
      </c>
      <c r="B705" s="19" t="s">
        <v>1612</v>
      </c>
      <c r="C705" s="20" t="s">
        <v>1613</v>
      </c>
      <c r="D705" s="36" t="s">
        <v>28</v>
      </c>
      <c r="E705" s="37" t="s">
        <v>3260</v>
      </c>
      <c r="F705" s="43">
        <v>17.16</v>
      </c>
      <c r="G705" s="100">
        <f t="shared" si="10"/>
        <v>17.16</v>
      </c>
      <c r="H705" s="101"/>
      <c r="I705" s="100">
        <f>G705*H705</f>
        <v>0</v>
      </c>
      <c r="J705" s="39" t="s">
        <v>3336</v>
      </c>
      <c r="K705" s="40" t="s">
        <v>41</v>
      </c>
      <c r="L705" s="41"/>
      <c r="M705" s="44" t="e">
        <f>VLOOKUP(A705,#REF!,4,0)</f>
        <v>#REF!</v>
      </c>
      <c r="N705" s="42" t="str">
        <f>HYPERLINK("https://pronto.by/catalog/prazdnichnaya-svetotehnika/professional-professionalnye-proekty/gibkiy-neon/aksessuary-dlya-gibkogo-neona/134-062.html", "https://pronto.by/catalog/prazdnichnaya-svetotehnika/professional-professionalnye-proekty/gibkiy-neon/aksessuary-dlya-gibkogo-neona/134-062.html")</f>
        <v>https://pronto.by/catalog/prazdnichnaya-svetotehnika/professional-professionalnye-proekty/gibkiy-neon/aksessuary-dlya-gibkogo-neona/134-062.html</v>
      </c>
    </row>
    <row r="706" spans="1:14" customFormat="1" ht="81.599999999999994">
      <c r="A706" s="35" t="s">
        <v>1614</v>
      </c>
      <c r="B706" s="19" t="s">
        <v>1615</v>
      </c>
      <c r="C706" s="20" t="s">
        <v>1616</v>
      </c>
      <c r="D706" s="36" t="s">
        <v>28</v>
      </c>
      <c r="E706" s="37" t="s">
        <v>3260</v>
      </c>
      <c r="F706" s="43">
        <v>17.16</v>
      </c>
      <c r="G706" s="100">
        <f t="shared" si="10"/>
        <v>17.16</v>
      </c>
      <c r="H706" s="101"/>
      <c r="I706" s="100">
        <f>G706*H706</f>
        <v>0</v>
      </c>
      <c r="J706" s="39" t="s">
        <v>3336</v>
      </c>
      <c r="K706" s="40" t="s">
        <v>41</v>
      </c>
      <c r="L706" s="41"/>
      <c r="M706" s="44" t="e">
        <f>VLOOKUP(A706,#REF!,4,0)</f>
        <v>#REF!</v>
      </c>
      <c r="N706" s="42" t="str">
        <f>HYPERLINK("https://pronto.by/catalog/prazdnichnaya-svetotehnika/professional-professionalnye-proekty/gibkiy-neon/aksessuary-dlya-gibkogo-neona/134-060.html", "https://pronto.by/catalog/prazdnichnaya-svetotehnika/professional-professionalnye-proekty/gibkiy-neon/aksessuary-dlya-gibkogo-neona/134-060.html")</f>
        <v>https://pronto.by/catalog/prazdnichnaya-svetotehnika/professional-professionalnye-proekty/gibkiy-neon/aksessuary-dlya-gibkogo-neona/134-060.html</v>
      </c>
    </row>
    <row r="707" spans="1:14" customFormat="1" ht="41.4">
      <c r="A707" s="35" t="s">
        <v>1617</v>
      </c>
      <c r="B707" s="19" t="s">
        <v>1618</v>
      </c>
      <c r="C707" s="20" t="s">
        <v>3801</v>
      </c>
      <c r="D707" s="36" t="s">
        <v>28</v>
      </c>
      <c r="E707" s="37" t="s">
        <v>3269</v>
      </c>
      <c r="F707" s="43">
        <v>5.7</v>
      </c>
      <c r="G707" s="100">
        <f t="shared" si="10"/>
        <v>5.7</v>
      </c>
      <c r="H707" s="101"/>
      <c r="I707" s="100">
        <f>G707*H707</f>
        <v>0</v>
      </c>
      <c r="J707" s="39" t="s">
        <v>3336</v>
      </c>
      <c r="K707" s="40" t="s">
        <v>31</v>
      </c>
      <c r="L707" s="41"/>
      <c r="M707" s="42" t="str">
        <f>HYPERLINK("https://catalog.onliner.by/xmaslights/neonnight/134026", "https://catalog.onliner.by/xmaslights/neonnight/134026")</f>
        <v>https://catalog.onliner.by/xmaslights/neonnight/134026</v>
      </c>
      <c r="N707" s="42" t="str">
        <f>HYPERLINK("https://pronto.by/catalog/product/134-026.html", "https://pronto.by/catalog/product/134-026.html")</f>
        <v>https://pronto.by/catalog/product/134-026.html</v>
      </c>
    </row>
    <row r="708" spans="1:14" customFormat="1" ht="27.6">
      <c r="A708" s="35" t="s">
        <v>1619</v>
      </c>
      <c r="B708" s="19" t="s">
        <v>1620</v>
      </c>
      <c r="C708" s="20" t="s">
        <v>3802</v>
      </c>
      <c r="D708" s="36" t="s">
        <v>28</v>
      </c>
      <c r="E708" s="37" t="s">
        <v>3302</v>
      </c>
      <c r="F708" s="43">
        <v>1.2</v>
      </c>
      <c r="G708" s="100">
        <f t="shared" si="10"/>
        <v>1.2</v>
      </c>
      <c r="H708" s="101"/>
      <c r="I708" s="100">
        <f>G708*H708</f>
        <v>0</v>
      </c>
      <c r="J708" s="39" t="s">
        <v>3336</v>
      </c>
      <c r="K708" s="40" t="s">
        <v>31</v>
      </c>
      <c r="L708" s="41"/>
      <c r="M708" s="44" t="e">
        <f>VLOOKUP(A708,#REF!,4,0)</f>
        <v>#REF!</v>
      </c>
      <c r="N708" s="42" t="str">
        <f>HYPERLINK("https://pronto.by/catalog/product/134-039.html", "https://pronto.by/catalog/product/134-039.html")</f>
        <v>https://pronto.by/catalog/product/134-039.html</v>
      </c>
    </row>
    <row r="709" spans="1:14" customFormat="1" ht="27.6">
      <c r="A709" s="35" t="s">
        <v>1621</v>
      </c>
      <c r="B709" s="19" t="s">
        <v>1622</v>
      </c>
      <c r="C709" s="20" t="s">
        <v>3803</v>
      </c>
      <c r="D709" s="36" t="s">
        <v>28</v>
      </c>
      <c r="E709" s="37" t="s">
        <v>3271</v>
      </c>
      <c r="F709" s="43">
        <v>1.7999999999999998</v>
      </c>
      <c r="G709" s="100">
        <f t="shared" si="10"/>
        <v>1.8</v>
      </c>
      <c r="H709" s="101"/>
      <c r="I709" s="100">
        <f>G709*H709</f>
        <v>0</v>
      </c>
      <c r="J709" s="39" t="s">
        <v>3336</v>
      </c>
      <c r="K709" s="40" t="s">
        <v>31</v>
      </c>
      <c r="L709" s="41"/>
      <c r="M709" s="44" t="e">
        <f>VLOOKUP(A709,#REF!,4,0)</f>
        <v>#REF!</v>
      </c>
      <c r="N709" s="42" t="str">
        <f>HYPERLINK("https://pronto.by/catalog/product/134-038.html", "https://pronto.by/catalog/product/134-038.html")</f>
        <v>https://pronto.by/catalog/product/134-038.html</v>
      </c>
    </row>
    <row r="710" spans="1:14" customFormat="1" ht="41.4">
      <c r="A710" s="35" t="s">
        <v>1623</v>
      </c>
      <c r="B710" s="19" t="s">
        <v>1624</v>
      </c>
      <c r="C710" s="20" t="s">
        <v>3804</v>
      </c>
      <c r="D710" s="36" t="s">
        <v>28</v>
      </c>
      <c r="E710" s="37" t="s">
        <v>3278</v>
      </c>
      <c r="F710" s="43">
        <v>1.7999999999999998</v>
      </c>
      <c r="G710" s="100">
        <f t="shared" si="10"/>
        <v>1.8</v>
      </c>
      <c r="H710" s="101"/>
      <c r="I710" s="100">
        <f>G710*H710</f>
        <v>0</v>
      </c>
      <c r="J710" s="39" t="s">
        <v>3336</v>
      </c>
      <c r="K710" s="40" t="s">
        <v>31</v>
      </c>
      <c r="L710" s="41"/>
      <c r="M710" s="44" t="e">
        <f>VLOOKUP(A710,#REF!,4,0)</f>
        <v>#REF!</v>
      </c>
      <c r="N710" s="42" t="str">
        <f>HYPERLINK("https://pronto.by/catalog/product/134-093.html", "https://pronto.by/catalog/product/134-093.html")</f>
        <v>https://pronto.by/catalog/product/134-093.html</v>
      </c>
    </row>
    <row r="711" spans="1:14" customFormat="1" ht="41.4">
      <c r="A711" s="35" t="s">
        <v>1625</v>
      </c>
      <c r="B711" s="19" t="s">
        <v>1626</v>
      </c>
      <c r="C711" s="20" t="s">
        <v>3805</v>
      </c>
      <c r="D711" s="36" t="s">
        <v>28</v>
      </c>
      <c r="E711" s="37" t="s">
        <v>3278</v>
      </c>
      <c r="F711" s="43">
        <v>1.2</v>
      </c>
      <c r="G711" s="100">
        <f t="shared" si="10"/>
        <v>1.2</v>
      </c>
      <c r="H711" s="101"/>
      <c r="I711" s="100">
        <f>G711*H711</f>
        <v>0</v>
      </c>
      <c r="J711" s="39" t="s">
        <v>3336</v>
      </c>
      <c r="K711" s="40" t="s">
        <v>31</v>
      </c>
      <c r="L711" s="41"/>
      <c r="M711" s="42" t="str">
        <f>HYPERLINK("https://catalog.onliner.by/ledpowersupply/neonnight/134020", "https://catalog.onliner.by/ledpowersupply/neonnight/134020")</f>
        <v>https://catalog.onliner.by/ledpowersupply/neonnight/134020</v>
      </c>
      <c r="N711" s="42" t="str">
        <f>HYPERLINK("https://pronto.by/catalog/product/134-020.html", "https://pronto.by/catalog/product/134-020.html")</f>
        <v>https://pronto.by/catalog/product/134-020.html</v>
      </c>
    </row>
    <row r="712" spans="1:14" customFormat="1" ht="41.4">
      <c r="A712" s="35" t="s">
        <v>1627</v>
      </c>
      <c r="B712" s="19" t="s">
        <v>1628</v>
      </c>
      <c r="C712" s="20" t="s">
        <v>3806</v>
      </c>
      <c r="D712" s="36" t="s">
        <v>28</v>
      </c>
      <c r="E712" s="37" t="s">
        <v>3303</v>
      </c>
      <c r="F712" s="43">
        <v>1.7999999999999998</v>
      </c>
      <c r="G712" s="100">
        <f t="shared" si="10"/>
        <v>1.8</v>
      </c>
      <c r="H712" s="101"/>
      <c r="I712" s="100">
        <f>G712*H712</f>
        <v>0</v>
      </c>
      <c r="J712" s="39" t="s">
        <v>3336</v>
      </c>
      <c r="K712" s="40" t="s">
        <v>41</v>
      </c>
      <c r="L712" s="41"/>
      <c r="M712" s="44" t="e">
        <f>VLOOKUP(A712,#REF!,4,0)</f>
        <v>#REF!</v>
      </c>
      <c r="N712" s="42" t="str">
        <f>HYPERLINK("https://pronto.by/catalog/product/134-091.html", "https://pronto.by/catalog/product/134-091.html")</f>
        <v>https://pronto.by/catalog/product/134-091.html</v>
      </c>
    </row>
    <row r="713" spans="1:14" customFormat="1" ht="41.4">
      <c r="A713" s="35" t="s">
        <v>1629</v>
      </c>
      <c r="B713" s="19" t="s">
        <v>1630</v>
      </c>
      <c r="C713" s="20" t="s">
        <v>3807</v>
      </c>
      <c r="D713" s="36" t="s">
        <v>28</v>
      </c>
      <c r="E713" s="37" t="s">
        <v>3278</v>
      </c>
      <c r="F713" s="43">
        <v>1.7999999999999998</v>
      </c>
      <c r="G713" s="100">
        <f t="shared" si="10"/>
        <v>1.8</v>
      </c>
      <c r="H713" s="101"/>
      <c r="I713" s="100">
        <f>G713*H713</f>
        <v>0</v>
      </c>
      <c r="J713" s="39" t="s">
        <v>3336</v>
      </c>
      <c r="K713" s="40" t="s">
        <v>41</v>
      </c>
      <c r="L713" s="41"/>
      <c r="M713" s="44" t="e">
        <f>VLOOKUP(A713,#REF!,4,0)</f>
        <v>#REF!</v>
      </c>
      <c r="N713" s="42" t="str">
        <f>HYPERLINK("https://pronto.by/catalog/product/134-092.html", "https://pronto.by/catalog/product/134-092.html")</f>
        <v>https://pronto.by/catalog/product/134-092.html</v>
      </c>
    </row>
    <row r="714" spans="1:14" customFormat="1" ht="41.4">
      <c r="A714" s="35" t="s">
        <v>3808</v>
      </c>
      <c r="B714" s="19" t="s">
        <v>3809</v>
      </c>
      <c r="C714" s="20" t="s">
        <v>3810</v>
      </c>
      <c r="D714" s="36" t="s">
        <v>28</v>
      </c>
      <c r="E714" s="37" t="s">
        <v>3301</v>
      </c>
      <c r="F714" s="43">
        <v>1.56</v>
      </c>
      <c r="G714" s="100">
        <f t="shared" si="10"/>
        <v>1.56</v>
      </c>
      <c r="H714" s="101"/>
      <c r="I714" s="100">
        <f>G714*H714</f>
        <v>0</v>
      </c>
      <c r="J714" s="39" t="s">
        <v>3336</v>
      </c>
      <c r="K714" s="40" t="s">
        <v>41</v>
      </c>
      <c r="L714" s="41"/>
      <c r="M714" s="44" t="e">
        <f>VLOOKUP(A714,#REF!,4,0)</f>
        <v>#REF!</v>
      </c>
      <c r="N714" s="42" t="str">
        <f>HYPERLINK("https://pronto.by/catalog/product/134-086.html", "https://pronto.by/catalog/product/134-086.html")</f>
        <v>https://pronto.by/catalog/product/134-086.html</v>
      </c>
    </row>
    <row r="715" spans="1:14" customFormat="1" ht="41.4">
      <c r="A715" s="35" t="s">
        <v>3811</v>
      </c>
      <c r="B715" s="19" t="s">
        <v>3812</v>
      </c>
      <c r="C715" s="20" t="s">
        <v>3813</v>
      </c>
      <c r="D715" s="36" t="s">
        <v>28</v>
      </c>
      <c r="E715" s="37" t="s">
        <v>3301</v>
      </c>
      <c r="F715" s="43">
        <v>1.56</v>
      </c>
      <c r="G715" s="100">
        <f t="shared" si="10"/>
        <v>1.56</v>
      </c>
      <c r="H715" s="101"/>
      <c r="I715" s="100">
        <f>G715*H715</f>
        <v>0</v>
      </c>
      <c r="J715" s="39" t="s">
        <v>3336</v>
      </c>
      <c r="K715" s="40" t="s">
        <v>41</v>
      </c>
      <c r="L715" s="41"/>
      <c r="M715" s="44" t="e">
        <f>VLOOKUP(A715,#REF!,4,0)</f>
        <v>#REF!</v>
      </c>
      <c r="N715" s="42" t="str">
        <f>HYPERLINK("https://pronto.by/catalog/product/134-087.html", "https://pronto.by/catalog/product/134-087.html")</f>
        <v>https://pronto.by/catalog/product/134-087.html</v>
      </c>
    </row>
    <row r="716" spans="1:14" customFormat="1" ht="81.599999999999994">
      <c r="A716" s="35" t="s">
        <v>1631</v>
      </c>
      <c r="B716" s="19" t="s">
        <v>1632</v>
      </c>
      <c r="C716" s="20" t="s">
        <v>1633</v>
      </c>
      <c r="D716" s="36" t="s">
        <v>28</v>
      </c>
      <c r="E716" s="37" t="s">
        <v>3260</v>
      </c>
      <c r="F716" s="43">
        <v>22.86</v>
      </c>
      <c r="G716" s="100">
        <f t="shared" si="10"/>
        <v>22.86</v>
      </c>
      <c r="H716" s="101"/>
      <c r="I716" s="100">
        <f>G716*H716</f>
        <v>0</v>
      </c>
      <c r="J716" s="39" t="s">
        <v>3336</v>
      </c>
      <c r="K716" s="40" t="s">
        <v>31</v>
      </c>
      <c r="L716" s="41"/>
      <c r="M716" s="44" t="e">
        <f>VLOOKUP(A716,#REF!,4,0)</f>
        <v>#REF!</v>
      </c>
      <c r="N716" s="42" t="str">
        <f>HYPERLINK("https://pronto.by/catalog/prazdnichnaya-svetotehnika/professional-professionalnye-proekty/gibkiy-neon/aksessuary-dlya-gibkogo-neona/134-088.html", "https://pronto.by/catalog/prazdnichnaya-svetotehnika/professional-professionalnye-proekty/gibkiy-neon/aksessuary-dlya-gibkogo-neona/134-088.html")</f>
        <v>https://pronto.by/catalog/prazdnichnaya-svetotehnika/professional-professionalnye-proekty/gibkiy-neon/aksessuary-dlya-gibkogo-neona/134-088.html</v>
      </c>
    </row>
    <row r="717" spans="1:14" customFormat="1" ht="41.4">
      <c r="A717" s="35" t="s">
        <v>1634</v>
      </c>
      <c r="B717" s="19" t="s">
        <v>1635</v>
      </c>
      <c r="C717" s="20" t="s">
        <v>3814</v>
      </c>
      <c r="D717" s="36" t="s">
        <v>28</v>
      </c>
      <c r="E717" s="37" t="s">
        <v>3301</v>
      </c>
      <c r="F717" s="43">
        <v>1.6800000000000002</v>
      </c>
      <c r="G717" s="100">
        <f t="shared" si="10"/>
        <v>1.68</v>
      </c>
      <c r="H717" s="101"/>
      <c r="I717" s="100">
        <f>G717*H717</f>
        <v>0</v>
      </c>
      <c r="J717" s="39" t="s">
        <v>3336</v>
      </c>
      <c r="K717" s="40" t="s">
        <v>41</v>
      </c>
      <c r="L717" s="41"/>
      <c r="M717" s="44" t="e">
        <f>VLOOKUP(A717,#REF!,4,0)</f>
        <v>#REF!</v>
      </c>
      <c r="N717" s="42" t="str">
        <f>HYPERLINK("https://pronto.by/catalog/product/134-085.html", "https://pronto.by/catalog/product/134-085.html")</f>
        <v>https://pronto.by/catalog/product/134-085.html</v>
      </c>
    </row>
    <row r="718" spans="1:14" customFormat="1" ht="41.4">
      <c r="A718" s="35" t="s">
        <v>1636</v>
      </c>
      <c r="B718" s="19" t="s">
        <v>1637</v>
      </c>
      <c r="C718" s="20" t="s">
        <v>3815</v>
      </c>
      <c r="D718" s="36" t="s">
        <v>28</v>
      </c>
      <c r="E718" s="37" t="s">
        <v>3301</v>
      </c>
      <c r="F718" s="43">
        <v>5.88</v>
      </c>
      <c r="G718" s="100">
        <f t="shared" si="10"/>
        <v>5.88</v>
      </c>
      <c r="H718" s="101"/>
      <c r="I718" s="100">
        <f>G718*H718</f>
        <v>0</v>
      </c>
      <c r="J718" s="39" t="s">
        <v>3336</v>
      </c>
      <c r="K718" s="40" t="s">
        <v>31</v>
      </c>
      <c r="L718" s="41"/>
      <c r="M718" s="42" t="str">
        <f>HYPERLINK("https://catalog.onliner.by/ledpowersupply/neonnight/134003", "https://catalog.onliner.by/ledpowersupply/neonnight/134003")</f>
        <v>https://catalog.onliner.by/ledpowersupply/neonnight/134003</v>
      </c>
      <c r="N718" s="42" t="str">
        <f>HYPERLINK("https://pronto.by/catalog/product/134-003.html", "https://pronto.by/catalog/product/134-003.html")</f>
        <v>https://pronto.by/catalog/product/134-003.html</v>
      </c>
    </row>
    <row r="719" spans="1:14" customFormat="1" ht="41.4">
      <c r="A719" s="35" t="s">
        <v>1638</v>
      </c>
      <c r="B719" s="19" t="s">
        <v>1639</v>
      </c>
      <c r="C719" s="20" t="s">
        <v>3816</v>
      </c>
      <c r="D719" s="36" t="s">
        <v>28</v>
      </c>
      <c r="E719" s="37" t="s">
        <v>3278</v>
      </c>
      <c r="F719" s="43">
        <v>4.32</v>
      </c>
      <c r="G719" s="100">
        <f t="shared" ref="G719:G782" si="11">ROUND(F719-F719*G$3,2)</f>
        <v>4.32</v>
      </c>
      <c r="H719" s="101"/>
      <c r="I719" s="100">
        <f>G719*H719</f>
        <v>0</v>
      </c>
      <c r="J719" s="39" t="s">
        <v>3336</v>
      </c>
      <c r="K719" s="40" t="s">
        <v>31</v>
      </c>
      <c r="L719" s="41"/>
      <c r="M719" s="42" t="str">
        <f>HYPERLINK("https://catalog.onliner.by/ledpowersupply/neonnight/134024", "https://catalog.onliner.by/ledpowersupply/neonnight/134024")</f>
        <v>https://catalog.onliner.by/ledpowersupply/neonnight/134024</v>
      </c>
      <c r="N719" s="42" t="str">
        <f>HYPERLINK("https://pronto.by/catalog/product/134-024.html", "https://pronto.by/catalog/product/134-024.html")</f>
        <v>https://pronto.by/catalog/product/134-024.html</v>
      </c>
    </row>
    <row r="720" spans="1:14" customFormat="1" ht="81.599999999999994">
      <c r="A720" s="35" t="s">
        <v>1640</v>
      </c>
      <c r="B720" s="19" t="s">
        <v>1641</v>
      </c>
      <c r="C720" s="20" t="s">
        <v>3817</v>
      </c>
      <c r="D720" s="36" t="s">
        <v>28</v>
      </c>
      <c r="E720" s="37" t="s">
        <v>3269</v>
      </c>
      <c r="F720" s="43">
        <v>5.34</v>
      </c>
      <c r="G720" s="100">
        <f t="shared" si="11"/>
        <v>5.34</v>
      </c>
      <c r="H720" s="101"/>
      <c r="I720" s="100">
        <f>G720*H720</f>
        <v>0</v>
      </c>
      <c r="J720" s="39" t="s">
        <v>3336</v>
      </c>
      <c r="K720" s="40" t="s">
        <v>31</v>
      </c>
      <c r="L720" s="41"/>
      <c r="M720" s="44" t="e">
        <f>VLOOKUP(A720,#REF!,4,0)</f>
        <v>#REF!</v>
      </c>
      <c r="N720" s="42" t="str">
        <f>HYPERLINK("https://pronto.by/catalog/prazdnichnaya-svetotehnika/professional-professionalnye-proekty/gibkiy-neon/aksessuary-dlya-gibkogo-neona/134-023.html", "https://pronto.by/catalog/prazdnichnaya-svetotehnika/professional-professionalnye-proekty/gibkiy-neon/aksessuary-dlya-gibkogo-neona/134-023.html")</f>
        <v>https://pronto.by/catalog/prazdnichnaya-svetotehnika/professional-professionalnye-proekty/gibkiy-neon/aksessuary-dlya-gibkogo-neona/134-023.html</v>
      </c>
    </row>
    <row r="721" spans="1:14" customFormat="1" ht="41.4">
      <c r="A721" s="35" t="s">
        <v>1642</v>
      </c>
      <c r="B721" s="19" t="s">
        <v>1643</v>
      </c>
      <c r="C721" s="20" t="s">
        <v>1644</v>
      </c>
      <c r="D721" s="36" t="s">
        <v>28</v>
      </c>
      <c r="E721" s="37" t="s">
        <v>3260</v>
      </c>
      <c r="F721" s="43">
        <v>16.8</v>
      </c>
      <c r="G721" s="100">
        <f t="shared" si="11"/>
        <v>16.8</v>
      </c>
      <c r="H721" s="101"/>
      <c r="I721" s="100">
        <f>G721*H721</f>
        <v>0</v>
      </c>
      <c r="J721" s="39" t="s">
        <v>3336</v>
      </c>
      <c r="K721" s="40" t="s">
        <v>41</v>
      </c>
      <c r="L721" s="41"/>
      <c r="M721" s="42" t="str">
        <f>HYPERLINK("https://catalog.onliner.by/ledpowersupply/neonnight/134002", "https://catalog.onliner.by/ledpowersupply/neonnight/134002")</f>
        <v>https://catalog.onliner.by/ledpowersupply/neonnight/134002</v>
      </c>
      <c r="N721" s="42" t="str">
        <f>HYPERLINK("https://pronto.by/catalog/product/134-002.html", "https://pronto.by/catalog/product/134-002.html")</f>
        <v>https://pronto.by/catalog/product/134-002.html</v>
      </c>
    </row>
    <row r="722" spans="1:14" customFormat="1" ht="41.4">
      <c r="A722" s="35" t="s">
        <v>1645</v>
      </c>
      <c r="B722" s="19" t="s">
        <v>1646</v>
      </c>
      <c r="C722" s="20" t="s">
        <v>1647</v>
      </c>
      <c r="D722" s="36" t="s">
        <v>28</v>
      </c>
      <c r="E722" s="37" t="s">
        <v>3260</v>
      </c>
      <c r="F722" s="43">
        <v>16.86</v>
      </c>
      <c r="G722" s="100">
        <f t="shared" si="11"/>
        <v>16.86</v>
      </c>
      <c r="H722" s="101"/>
      <c r="I722" s="100">
        <f>G722*H722</f>
        <v>0</v>
      </c>
      <c r="J722" s="39" t="s">
        <v>3336</v>
      </c>
      <c r="K722" s="40" t="s">
        <v>31</v>
      </c>
      <c r="L722" s="41"/>
      <c r="M722" s="42" t="str">
        <f>HYPERLINK("https://catalog.onliner.by/ledpowersupply/neonnight/n134009", "https://catalog.onliner.by/ledpowersupply/neonnight/n134009")</f>
        <v>https://catalog.onliner.by/ledpowersupply/neonnight/n134009</v>
      </c>
      <c r="N722" s="42" t="str">
        <f>HYPERLINK("https://pronto.by/catalog/product/134-009.html", "https://pronto.by/catalog/product/134-009.html")</f>
        <v>https://pronto.by/catalog/product/134-009.html</v>
      </c>
    </row>
    <row r="723" spans="1:14" customFormat="1" ht="41.4">
      <c r="A723" s="35" t="s">
        <v>1648</v>
      </c>
      <c r="B723" s="19" t="s">
        <v>1649</v>
      </c>
      <c r="C723" s="20" t="s">
        <v>1650</v>
      </c>
      <c r="D723" s="36" t="s">
        <v>28</v>
      </c>
      <c r="E723" s="37" t="s">
        <v>3260</v>
      </c>
      <c r="F723" s="43">
        <v>19.380000000000003</v>
      </c>
      <c r="G723" s="100">
        <f t="shared" si="11"/>
        <v>19.38</v>
      </c>
      <c r="H723" s="101"/>
      <c r="I723" s="100">
        <f>G723*H723</f>
        <v>0</v>
      </c>
      <c r="J723" s="39" t="s">
        <v>3336</v>
      </c>
      <c r="K723" s="40" t="s">
        <v>41</v>
      </c>
      <c r="L723" s="41"/>
      <c r="M723" s="42" t="str">
        <f>HYPERLINK("https://catalog.onliner.by/ledpowersupply/neonnight/134008", "https://catalog.onliner.by/ledpowersupply/neonnight/134008")</f>
        <v>https://catalog.onliner.by/ledpowersupply/neonnight/134008</v>
      </c>
      <c r="N723" s="42" t="str">
        <f>HYPERLINK("https://pronto.by/catalog/product/134-008.html", "https://pronto.by/catalog/product/134-008.html")</f>
        <v>https://pronto.by/catalog/product/134-008.html</v>
      </c>
    </row>
    <row r="724" spans="1:14" customFormat="1" ht="41.4">
      <c r="A724" s="35" t="s">
        <v>1651</v>
      </c>
      <c r="B724" s="19" t="s">
        <v>1652</v>
      </c>
      <c r="C724" s="20" t="s">
        <v>1653</v>
      </c>
      <c r="D724" s="36" t="s">
        <v>28</v>
      </c>
      <c r="E724" s="37" t="s">
        <v>3260</v>
      </c>
      <c r="F724" s="43">
        <v>19.380000000000003</v>
      </c>
      <c r="G724" s="100">
        <f t="shared" si="11"/>
        <v>19.38</v>
      </c>
      <c r="H724" s="101"/>
      <c r="I724" s="100">
        <f>G724*H724</f>
        <v>0</v>
      </c>
      <c r="J724" s="39" t="s">
        <v>3336</v>
      </c>
      <c r="K724" s="40" t="s">
        <v>31</v>
      </c>
      <c r="L724" s="41"/>
      <c r="M724" s="42" t="str">
        <f>HYPERLINK("https://catalog.onliner.by/ledpowersupply/neonnight/134006", "https://catalog.onliner.by/ledpowersupply/neonnight/134006")</f>
        <v>https://catalog.onliner.by/ledpowersupply/neonnight/134006</v>
      </c>
      <c r="N724" s="42" t="str">
        <f>HYPERLINK("https://pronto.by/catalog/product/134-006.html", "https://pronto.by/catalog/product/134-006.html")</f>
        <v>https://pronto.by/catalog/product/134-006.html</v>
      </c>
    </row>
    <row r="725" spans="1:14" customFormat="1" ht="41.4">
      <c r="A725" s="35" t="s">
        <v>3818</v>
      </c>
      <c r="B725" s="19" t="s">
        <v>3819</v>
      </c>
      <c r="C725" s="20" t="s">
        <v>3820</v>
      </c>
      <c r="D725" s="36" t="s">
        <v>28</v>
      </c>
      <c r="E725" s="37" t="s">
        <v>3301</v>
      </c>
      <c r="F725" s="43">
        <v>21.06</v>
      </c>
      <c r="G725" s="100">
        <f t="shared" si="11"/>
        <v>21.06</v>
      </c>
      <c r="H725" s="101"/>
      <c r="I725" s="100">
        <f>G725*H725</f>
        <v>0</v>
      </c>
      <c r="J725" s="39" t="s">
        <v>3336</v>
      </c>
      <c r="K725" s="40" t="s">
        <v>41</v>
      </c>
      <c r="L725" s="41"/>
      <c r="M725" s="44" t="e">
        <f>VLOOKUP(A725,#REF!,4,0)</f>
        <v>#REF!</v>
      </c>
      <c r="N725" s="42" t="str">
        <f>HYPERLINK("https://pronto.by/catalog/product/134-007.html", "https://pronto.by/catalog/product/134-007.html")</f>
        <v>https://pronto.by/catalog/product/134-007.html</v>
      </c>
    </row>
    <row r="726" spans="1:14" customFormat="1" ht="81.599999999999994">
      <c r="A726" s="35" t="s">
        <v>1654</v>
      </c>
      <c r="B726" s="19" t="s">
        <v>1655</v>
      </c>
      <c r="C726" s="20" t="s">
        <v>1656</v>
      </c>
      <c r="D726" s="36" t="s">
        <v>28</v>
      </c>
      <c r="E726" s="37" t="s">
        <v>3260</v>
      </c>
      <c r="F726" s="43">
        <v>14.940000000000001</v>
      </c>
      <c r="G726" s="100">
        <f t="shared" si="11"/>
        <v>14.94</v>
      </c>
      <c r="H726" s="101"/>
      <c r="I726" s="100">
        <f>G726*H726</f>
        <v>0</v>
      </c>
      <c r="J726" s="39" t="s">
        <v>3336</v>
      </c>
      <c r="K726" s="40" t="s">
        <v>31</v>
      </c>
      <c r="L726" s="41"/>
      <c r="M726" s="44" t="e">
        <f>VLOOKUP(A726,#REF!,4,0)</f>
        <v>#REF!</v>
      </c>
      <c r="N726" s="42" t="str">
        <f>HYPERLINK("https://pronto.by/catalog/prazdnichnaya-svetotehnika/professional-professionalnye-proekty/gibkiy-neon/aksessuary-dlya-gibkogo-neona/134-051.html", "https://pronto.by/catalog/prazdnichnaya-svetotehnika/professional-professionalnye-proekty/gibkiy-neon/aksessuary-dlya-gibkogo-neona/134-051.html")</f>
        <v>https://pronto.by/catalog/prazdnichnaya-svetotehnika/professional-professionalnye-proekty/gibkiy-neon/aksessuary-dlya-gibkogo-neona/134-051.html</v>
      </c>
    </row>
    <row r="727" spans="1:14" customFormat="1" ht="81.599999999999994">
      <c r="A727" s="35" t="s">
        <v>1657</v>
      </c>
      <c r="B727" s="19" t="s">
        <v>1658</v>
      </c>
      <c r="C727" s="20" t="s">
        <v>1659</v>
      </c>
      <c r="D727" s="36" t="s">
        <v>28</v>
      </c>
      <c r="E727" s="37" t="s">
        <v>3260</v>
      </c>
      <c r="F727" s="43">
        <v>14.940000000000001</v>
      </c>
      <c r="G727" s="100">
        <f t="shared" si="11"/>
        <v>14.94</v>
      </c>
      <c r="H727" s="101"/>
      <c r="I727" s="100">
        <f>G727*H727</f>
        <v>0</v>
      </c>
      <c r="J727" s="39" t="s">
        <v>3336</v>
      </c>
      <c r="K727" s="40" t="s">
        <v>31</v>
      </c>
      <c r="L727" s="41"/>
      <c r="M727" s="44" t="e">
        <f>VLOOKUP(A727,#REF!,4,0)</f>
        <v>#REF!</v>
      </c>
      <c r="N727" s="42" t="str">
        <f>HYPERLINK("https://pronto.by/catalog/prazdnichnaya-svetotehnika/professional-professionalnye-proekty/gibkiy-neon/aksessuary-dlya-gibkogo-neona/134-050.html", "https://pronto.by/catalog/prazdnichnaya-svetotehnika/professional-professionalnye-proekty/gibkiy-neon/aksessuary-dlya-gibkogo-neona/134-050.html")</f>
        <v>https://pronto.by/catalog/prazdnichnaya-svetotehnika/professional-professionalnye-proekty/gibkiy-neon/aksessuary-dlya-gibkogo-neona/134-050.html</v>
      </c>
    </row>
    <row r="728" spans="1:14" customFormat="1" ht="41.4">
      <c r="A728" s="35" t="s">
        <v>1660</v>
      </c>
      <c r="B728" s="19" t="s">
        <v>1661</v>
      </c>
      <c r="C728" s="20" t="s">
        <v>1662</v>
      </c>
      <c r="D728" s="36" t="s">
        <v>28</v>
      </c>
      <c r="E728" s="37" t="s">
        <v>3821</v>
      </c>
      <c r="F728" s="43">
        <v>4.6800000000000006</v>
      </c>
      <c r="G728" s="100">
        <f t="shared" si="11"/>
        <v>4.68</v>
      </c>
      <c r="H728" s="101"/>
      <c r="I728" s="100">
        <f>G728*H728</f>
        <v>0</v>
      </c>
      <c r="J728" s="39" t="s">
        <v>3336</v>
      </c>
      <c r="K728" s="40" t="s">
        <v>41</v>
      </c>
      <c r="L728" s="41"/>
      <c r="M728" s="44" t="e">
        <f>VLOOKUP(A728,#REF!,4,0)</f>
        <v>#REF!</v>
      </c>
      <c r="N728" s="42" t="str">
        <f>HYPERLINK("https://pronto.by/catalog/product/134-032.html", "https://pronto.by/catalog/product/134-032.html")</f>
        <v>https://pronto.by/catalog/product/134-032.html</v>
      </c>
    </row>
    <row r="729" spans="1:14" customFormat="1" ht="41.4">
      <c r="A729" s="35" t="s">
        <v>1663</v>
      </c>
      <c r="B729" s="19" t="s">
        <v>1664</v>
      </c>
      <c r="C729" s="20" t="s">
        <v>1665</v>
      </c>
      <c r="D729" s="36" t="s">
        <v>28</v>
      </c>
      <c r="E729" s="37" t="s">
        <v>3300</v>
      </c>
      <c r="F729" s="43">
        <v>3.06</v>
      </c>
      <c r="G729" s="100">
        <f t="shared" si="11"/>
        <v>3.06</v>
      </c>
      <c r="H729" s="101"/>
      <c r="I729" s="100">
        <f>G729*H729</f>
        <v>0</v>
      </c>
      <c r="J729" s="39" t="s">
        <v>3336</v>
      </c>
      <c r="K729" s="40" t="s">
        <v>41</v>
      </c>
      <c r="L729" s="41"/>
      <c r="M729" s="44" t="e">
        <f>VLOOKUP(A729,#REF!,4,0)</f>
        <v>#REF!</v>
      </c>
      <c r="N729" s="42" t="str">
        <f>HYPERLINK("https://pronto.by/catalog/product/134-040.html", "https://pronto.by/catalog/product/134-040.html")</f>
        <v>https://pronto.by/catalog/product/134-040.html</v>
      </c>
    </row>
    <row r="730" spans="1:14" customFormat="1" ht="30.6">
      <c r="A730" s="35" t="s">
        <v>3822</v>
      </c>
      <c r="B730" s="19" t="s">
        <v>3823</v>
      </c>
      <c r="C730" s="20" t="s">
        <v>3824</v>
      </c>
      <c r="D730" s="36" t="s">
        <v>28</v>
      </c>
      <c r="E730" s="37" t="s">
        <v>3304</v>
      </c>
      <c r="F730" s="43">
        <v>541.14</v>
      </c>
      <c r="G730" s="100">
        <f t="shared" si="11"/>
        <v>541.14</v>
      </c>
      <c r="H730" s="101"/>
      <c r="I730" s="100">
        <f>G730*H730</f>
        <v>0</v>
      </c>
      <c r="J730" s="39" t="s">
        <v>3336</v>
      </c>
      <c r="K730" s="40" t="s">
        <v>31</v>
      </c>
      <c r="L730" s="41"/>
      <c r="M730" s="42" t="str">
        <f>HYPERLINK("https://catalog.onliner.by/ledcontrol/neonnight/neon133012", "https://catalog.onliner.by/ledcontrol/neonnight/neon133012")</f>
        <v>https://catalog.onliner.by/ledcontrol/neonnight/neon133012</v>
      </c>
      <c r="N730" s="42" t="str">
        <f>HYPERLINK("https://pronto.by/catalog/product/133-012.html", "https://pronto.by/catalog/product/133-012.html")</f>
        <v>https://pronto.by/catalog/product/133-012.html</v>
      </c>
    </row>
    <row r="731" spans="1:14" customFormat="1" ht="81.599999999999994">
      <c r="A731" s="35" t="s">
        <v>3825</v>
      </c>
      <c r="B731" s="19" t="s">
        <v>3826</v>
      </c>
      <c r="C731" s="20" t="s">
        <v>3827</v>
      </c>
      <c r="D731" s="36" t="s">
        <v>28</v>
      </c>
      <c r="E731" s="37" t="s">
        <v>3309</v>
      </c>
      <c r="F731" s="43">
        <v>14.46</v>
      </c>
      <c r="G731" s="100">
        <f t="shared" si="11"/>
        <v>14.46</v>
      </c>
      <c r="H731" s="101"/>
      <c r="I731" s="100">
        <f>G731*H731</f>
        <v>0</v>
      </c>
      <c r="J731" s="39" t="s">
        <v>3336</v>
      </c>
      <c r="K731" s="40" t="s">
        <v>31</v>
      </c>
      <c r="L731" s="41"/>
      <c r="M731" s="44" t="e">
        <f>VLOOKUP(A731,#REF!,4,0)</f>
        <v>#REF!</v>
      </c>
      <c r="N731" s="42" t="str">
        <f>HYPERLINK("https://pronto.by/catalog/prazdnichnaya-svetotehnika/professional-professionalnye-proekty/gibkiy-neon/aksessuary-dlya-gibkogo-neona/134-046.html", "https://pronto.by/catalog/prazdnichnaya-svetotehnika/professional-professionalnye-proekty/gibkiy-neon/aksessuary-dlya-gibkogo-neona/134-046.html")</f>
        <v>https://pronto.by/catalog/prazdnichnaya-svetotehnika/professional-professionalnye-proekty/gibkiy-neon/aksessuary-dlya-gibkogo-neona/134-046.html</v>
      </c>
    </row>
    <row r="732" spans="1:14" customFormat="1" ht="41.4">
      <c r="A732" s="35" t="s">
        <v>1666</v>
      </c>
      <c r="B732" s="19" t="s">
        <v>1667</v>
      </c>
      <c r="C732" s="20" t="s">
        <v>1668</v>
      </c>
      <c r="D732" s="36" t="s">
        <v>28</v>
      </c>
      <c r="E732" s="37" t="s">
        <v>3259</v>
      </c>
      <c r="F732" s="43">
        <v>13.5</v>
      </c>
      <c r="G732" s="100">
        <f t="shared" si="11"/>
        <v>13.5</v>
      </c>
      <c r="H732" s="101"/>
      <c r="I732" s="100">
        <f>G732*H732</f>
        <v>0</v>
      </c>
      <c r="J732" s="39" t="s">
        <v>3336</v>
      </c>
      <c r="K732" s="40" t="s">
        <v>31</v>
      </c>
      <c r="L732" s="41"/>
      <c r="M732" s="42" t="str">
        <f>HYPERLINK("https://catalog.onliner.by/ledpowersupply/neonnight/n134045", "https://catalog.onliner.by/ledpowersupply/neonnight/n134045")</f>
        <v>https://catalog.onliner.by/ledpowersupply/neonnight/n134045</v>
      </c>
      <c r="N732" s="42" t="str">
        <f>HYPERLINK("https://pronto.by/catalog/product/134-045.html", "https://pronto.by/catalog/product/134-045.html")</f>
        <v>https://pronto.by/catalog/product/134-045.html</v>
      </c>
    </row>
    <row r="733" spans="1:14" customFormat="1" ht="41.4">
      <c r="A733" s="35" t="s">
        <v>1669</v>
      </c>
      <c r="B733" s="19" t="s">
        <v>1670</v>
      </c>
      <c r="C733" s="20" t="s">
        <v>1671</v>
      </c>
      <c r="D733" s="36" t="s">
        <v>28</v>
      </c>
      <c r="E733" s="37" t="s">
        <v>3260</v>
      </c>
      <c r="F733" s="43">
        <v>14.76</v>
      </c>
      <c r="G733" s="100">
        <f t="shared" si="11"/>
        <v>14.76</v>
      </c>
      <c r="H733" s="101"/>
      <c r="I733" s="100">
        <f>G733*H733</f>
        <v>0</v>
      </c>
      <c r="J733" s="39" t="s">
        <v>3336</v>
      </c>
      <c r="K733" s="40" t="s">
        <v>31</v>
      </c>
      <c r="L733" s="41"/>
      <c r="M733" s="42" t="str">
        <f>HYPERLINK("https://catalog.onliner.by/ledpowersupply/neonnight/n134080", "https://catalog.onliner.by/ledpowersupply/neonnight/n134080")</f>
        <v>https://catalog.onliner.by/ledpowersupply/neonnight/n134080</v>
      </c>
      <c r="N733" s="42" t="str">
        <f>HYPERLINK("https://pronto.by/catalog/product/134-080.html", "https://pronto.by/catalog/product/134-080.html")</f>
        <v>https://pronto.by/catalog/product/134-080.html</v>
      </c>
    </row>
    <row r="734" spans="1:14" customFormat="1" ht="81.599999999999994">
      <c r="A734" s="35" t="s">
        <v>3828</v>
      </c>
      <c r="B734" s="19" t="s">
        <v>3829</v>
      </c>
      <c r="C734" s="20" t="s">
        <v>3830</v>
      </c>
      <c r="D734" s="36" t="s">
        <v>28</v>
      </c>
      <c r="E734" s="37" t="s">
        <v>3301</v>
      </c>
      <c r="F734" s="43">
        <v>1.92</v>
      </c>
      <c r="G734" s="100">
        <f t="shared" si="11"/>
        <v>1.92</v>
      </c>
      <c r="H734" s="101"/>
      <c r="I734" s="100">
        <f>G734*H734</f>
        <v>0</v>
      </c>
      <c r="J734" s="39" t="s">
        <v>3336</v>
      </c>
      <c r="K734" s="40" t="s">
        <v>41</v>
      </c>
      <c r="L734" s="41"/>
      <c r="M734" s="44" t="e">
        <f>VLOOKUP(A734,#REF!,4,0)</f>
        <v>#REF!</v>
      </c>
      <c r="N734" s="42" t="str">
        <f>HYPERLINK("https://pronto.by/catalog/prazdnichnaya-svetotehnika/professional-professionalnye-proekty/gibkiy-neon/aksessuary-dlya-gibkogo-neona/134-084.html", "https://pronto.by/catalog/prazdnichnaya-svetotehnika/professional-professionalnye-proekty/gibkiy-neon/aksessuary-dlya-gibkogo-neona/134-084.html")</f>
        <v>https://pronto.by/catalog/prazdnichnaya-svetotehnika/professional-professionalnye-proekty/gibkiy-neon/aksessuary-dlya-gibkogo-neona/134-084.html</v>
      </c>
    </row>
    <row r="735" spans="1:14" customFormat="1" ht="41.4">
      <c r="A735" s="35" t="s">
        <v>1672</v>
      </c>
      <c r="B735" s="19" t="s">
        <v>1673</v>
      </c>
      <c r="C735" s="20" t="s">
        <v>1674</v>
      </c>
      <c r="D735" s="36" t="s">
        <v>28</v>
      </c>
      <c r="E735" s="37" t="s">
        <v>3302</v>
      </c>
      <c r="F735" s="43">
        <v>4.1399999999999997</v>
      </c>
      <c r="G735" s="100">
        <f t="shared" si="11"/>
        <v>4.1399999999999997</v>
      </c>
      <c r="H735" s="101"/>
      <c r="I735" s="100">
        <f>G735*H735</f>
        <v>0</v>
      </c>
      <c r="J735" s="39" t="s">
        <v>3336</v>
      </c>
      <c r="K735" s="40" t="s">
        <v>31</v>
      </c>
      <c r="L735" s="41"/>
      <c r="M735" s="42" t="str">
        <f>HYPERLINK("https://catalog.onliner.by/ledpowersupply/neonnight/n134049", "https://catalog.onliner.by/ledpowersupply/neonnight/n134049")</f>
        <v>https://catalog.onliner.by/ledpowersupply/neonnight/n134049</v>
      </c>
      <c r="N735" s="42" t="str">
        <f>HYPERLINK("https://pronto.by/catalog/product/134-049.html", "https://pronto.by/catalog/product/134-049.html")</f>
        <v>https://pronto.by/catalog/product/134-049.html</v>
      </c>
    </row>
    <row r="736" spans="1:14" customFormat="1" ht="41.4">
      <c r="A736" s="35" t="s">
        <v>3831</v>
      </c>
      <c r="B736" s="19" t="s">
        <v>3832</v>
      </c>
      <c r="C736" s="20" t="s">
        <v>3833</v>
      </c>
      <c r="D736" s="36" t="s">
        <v>30</v>
      </c>
      <c r="E736" s="37" t="s">
        <v>3301</v>
      </c>
      <c r="F736" s="43">
        <v>5.1599999999999993</v>
      </c>
      <c r="G736" s="100">
        <f t="shared" si="11"/>
        <v>5.16</v>
      </c>
      <c r="H736" s="101"/>
      <c r="I736" s="100">
        <f>G736*H736</f>
        <v>0</v>
      </c>
      <c r="J736" s="39" t="s">
        <v>3336</v>
      </c>
      <c r="K736" s="40" t="s">
        <v>31</v>
      </c>
      <c r="L736" s="41"/>
      <c r="M736" s="42" t="str">
        <f>HYPERLINK("https://catalog.onliner.by/ledpowersupply/neonnight/n104421", "https://catalog.onliner.by/ledpowersupply/neonnight/n104421")</f>
        <v>https://catalog.onliner.by/ledpowersupply/neonnight/n104421</v>
      </c>
      <c r="N736" s="42" t="str">
        <f>HYPERLINK("https://pronto.by/catalog/product/104-421.html", "https://pronto.by/catalog/product/104-421.html")</f>
        <v>https://pronto.by/catalog/product/104-421.html</v>
      </c>
    </row>
    <row r="737" spans="1:14" customFormat="1" ht="55.2">
      <c r="A737" s="35" t="s">
        <v>3834</v>
      </c>
      <c r="B737" s="19" t="s">
        <v>3835</v>
      </c>
      <c r="C737" s="20" t="s">
        <v>3836</v>
      </c>
      <c r="D737" s="36" t="s">
        <v>28</v>
      </c>
      <c r="E737" s="37" t="s">
        <v>3260</v>
      </c>
      <c r="F737" s="43">
        <v>13.56</v>
      </c>
      <c r="G737" s="100">
        <f t="shared" si="11"/>
        <v>13.56</v>
      </c>
      <c r="H737" s="101"/>
      <c r="I737" s="100">
        <f>G737*H737</f>
        <v>0</v>
      </c>
      <c r="J737" s="39" t="s">
        <v>3336</v>
      </c>
      <c r="K737" s="40" t="s">
        <v>31</v>
      </c>
      <c r="L737" s="41"/>
      <c r="M737" s="42" t="str">
        <f>HYPERLINK("https://catalog.onliner.by/ledpowersupply/neonnight/n134089", "https://catalog.onliner.by/ledpowersupply/neonnight/n134089")</f>
        <v>https://catalog.onliner.by/ledpowersupply/neonnight/n134089</v>
      </c>
      <c r="N737" s="42" t="str">
        <f>HYPERLINK("https://pronto.by/catalog/product/134-089.html", "https://pronto.by/catalog/product/134-089.html")</f>
        <v>https://pronto.by/catalog/product/134-089.html</v>
      </c>
    </row>
    <row r="738" spans="1:14" customFormat="1" ht="81.599999999999994">
      <c r="A738" s="35" t="s">
        <v>1675</v>
      </c>
      <c r="B738" s="19" t="s">
        <v>1676</v>
      </c>
      <c r="C738" s="20" t="s">
        <v>1677</v>
      </c>
      <c r="D738" s="36" t="s">
        <v>28</v>
      </c>
      <c r="E738" s="37" t="s">
        <v>3594</v>
      </c>
      <c r="F738" s="43">
        <v>27.06</v>
      </c>
      <c r="G738" s="100">
        <f t="shared" si="11"/>
        <v>27.06</v>
      </c>
      <c r="H738" s="101"/>
      <c r="I738" s="100">
        <f>G738*H738</f>
        <v>0</v>
      </c>
      <c r="J738" s="39" t="s">
        <v>3336</v>
      </c>
      <c r="K738" s="40" t="s">
        <v>31</v>
      </c>
      <c r="L738" s="41"/>
      <c r="M738" s="44" t="e">
        <f>VLOOKUP(A738,#REF!,4,0)</f>
        <v>#REF!</v>
      </c>
      <c r="N738" s="42" t="str">
        <f>HYPERLINK("https://pronto.by/catalog/prazdnichnaya-svetotehnika/professional-professionalnye-proekty/gibkiy-neon/aksessuary-dlya-gibkogo-neona/134-090.html", "https://pronto.by/catalog/prazdnichnaya-svetotehnika/professional-professionalnye-proekty/gibkiy-neon/aksessuary-dlya-gibkogo-neona/134-090.html")</f>
        <v>https://pronto.by/catalog/prazdnichnaya-svetotehnika/professional-professionalnye-proekty/gibkiy-neon/aksessuary-dlya-gibkogo-neona/134-090.html</v>
      </c>
    </row>
    <row r="739" spans="1:14" customFormat="1" ht="41.4">
      <c r="A739" s="35" t="s">
        <v>1678</v>
      </c>
      <c r="B739" s="19" t="s">
        <v>1679</v>
      </c>
      <c r="C739" s="20" t="s">
        <v>3837</v>
      </c>
      <c r="D739" s="36" t="s">
        <v>28</v>
      </c>
      <c r="E739" s="37" t="s">
        <v>3302</v>
      </c>
      <c r="F739" s="43">
        <v>3.7199999999999998</v>
      </c>
      <c r="G739" s="100">
        <f t="shared" si="11"/>
        <v>3.72</v>
      </c>
      <c r="H739" s="101"/>
      <c r="I739" s="100">
        <f>G739*H739</f>
        <v>0</v>
      </c>
      <c r="J739" s="39" t="s">
        <v>3336</v>
      </c>
      <c r="K739" s="40" t="s">
        <v>31</v>
      </c>
      <c r="L739" s="41"/>
      <c r="M739" s="42" t="str">
        <f>HYPERLINK("https://catalog.onliner.by/ledpowersupply/neonnight/n134047", "https://catalog.onliner.by/ledpowersupply/neonnight/n134047")</f>
        <v>https://catalog.onliner.by/ledpowersupply/neonnight/n134047</v>
      </c>
      <c r="N739" s="42" t="str">
        <f>HYPERLINK("https://pronto.by/catalog/product/134-047.html", "https://pronto.by/catalog/product/134-047.html")</f>
        <v>https://pronto.by/catalog/product/134-047.html</v>
      </c>
    </row>
    <row r="740" spans="1:14" customFormat="1" ht="41.4">
      <c r="A740" s="35" t="s">
        <v>3838</v>
      </c>
      <c r="B740" s="19" t="s">
        <v>3839</v>
      </c>
      <c r="C740" s="20" t="s">
        <v>3840</v>
      </c>
      <c r="D740" s="36" t="s">
        <v>28</v>
      </c>
      <c r="E740" s="37" t="s">
        <v>3260</v>
      </c>
      <c r="F740" s="43">
        <v>5.1599999999999993</v>
      </c>
      <c r="G740" s="100">
        <f t="shared" si="11"/>
        <v>5.16</v>
      </c>
      <c r="H740" s="101"/>
      <c r="I740" s="100">
        <f>G740*H740</f>
        <v>0</v>
      </c>
      <c r="J740" s="39" t="s">
        <v>3336</v>
      </c>
      <c r="K740" s="40" t="s">
        <v>31</v>
      </c>
      <c r="L740" s="41"/>
      <c r="M740" s="42" t="str">
        <f>HYPERLINK("https://catalog.onliner.by/ledpowersupply/neonnight/n134081", "https://catalog.onliner.by/ledpowersupply/neonnight/n134081")</f>
        <v>https://catalog.onliner.by/ledpowersupply/neonnight/n134081</v>
      </c>
      <c r="N740" s="42" t="str">
        <f>HYPERLINK("https://pronto.by/catalog/product/134-081.html", "https://pronto.by/catalog/product/134-081.html")</f>
        <v>https://pronto.by/catalog/product/134-081.html</v>
      </c>
    </row>
    <row r="741" spans="1:14" customFormat="1" ht="41.4">
      <c r="A741" s="35" t="s">
        <v>1680</v>
      </c>
      <c r="B741" s="19" t="s">
        <v>1681</v>
      </c>
      <c r="C741" s="20" t="s">
        <v>1682</v>
      </c>
      <c r="D741" s="36" t="s">
        <v>28</v>
      </c>
      <c r="E741" s="37" t="s">
        <v>3260</v>
      </c>
      <c r="F741" s="43">
        <v>10.74</v>
      </c>
      <c r="G741" s="100">
        <f t="shared" si="11"/>
        <v>10.74</v>
      </c>
      <c r="H741" s="101"/>
      <c r="I741" s="100">
        <f>G741*H741</f>
        <v>0</v>
      </c>
      <c r="J741" s="39" t="s">
        <v>3336</v>
      </c>
      <c r="K741" s="40" t="s">
        <v>31</v>
      </c>
      <c r="L741" s="41"/>
      <c r="M741" s="42" t="str">
        <f>HYPERLINK("https://catalog.onliner.by/ledpowersupply/neonnight/n134082", "https://catalog.onliner.by/ledpowersupply/neonnight/n134082")</f>
        <v>https://catalog.onliner.by/ledpowersupply/neonnight/n134082</v>
      </c>
      <c r="N741" s="42" t="str">
        <f>HYPERLINK("https://pronto.by/catalog/product/134-082.html", "https://pronto.by/catalog/product/134-082.html")</f>
        <v>https://pronto.by/catalog/product/134-082.html</v>
      </c>
    </row>
    <row r="742" spans="1:14" customFormat="1" ht="81.599999999999994">
      <c r="A742" s="35" t="s">
        <v>1683</v>
      </c>
      <c r="B742" s="19" t="s">
        <v>1684</v>
      </c>
      <c r="C742" s="20" t="s">
        <v>1685</v>
      </c>
      <c r="D742" s="36" t="s">
        <v>28</v>
      </c>
      <c r="E742" s="37" t="s">
        <v>3260</v>
      </c>
      <c r="F742" s="43">
        <v>22.86</v>
      </c>
      <c r="G742" s="100">
        <f t="shared" si="11"/>
        <v>22.86</v>
      </c>
      <c r="H742" s="101"/>
      <c r="I742" s="100">
        <f>G742*H742</f>
        <v>0</v>
      </c>
      <c r="J742" s="39" t="s">
        <v>3336</v>
      </c>
      <c r="K742" s="40" t="s">
        <v>31</v>
      </c>
      <c r="L742" s="41"/>
      <c r="M742" s="44" t="e">
        <f>VLOOKUP(A742,#REF!,4,0)</f>
        <v>#REF!</v>
      </c>
      <c r="N742" s="42" t="str">
        <f>HYPERLINK("https://pronto.by/catalog/prazdnichnaya-svetotehnika/professional-professionalnye-proekty/gibkiy-neon/aksessuary-dlya-gibkogo-neona/134-083.html", "https://pronto.by/catalog/prazdnichnaya-svetotehnika/professional-professionalnye-proekty/gibkiy-neon/aksessuary-dlya-gibkogo-neona/134-083.html")</f>
        <v>https://pronto.by/catalog/prazdnichnaya-svetotehnika/professional-professionalnye-proekty/gibkiy-neon/aksessuary-dlya-gibkogo-neona/134-083.html</v>
      </c>
    </row>
    <row r="743" spans="1:14" customFormat="1" ht="41.4">
      <c r="A743" s="53" t="s">
        <v>3841</v>
      </c>
      <c r="B743" s="19" t="s">
        <v>3842</v>
      </c>
      <c r="C743" s="20" t="s">
        <v>3843</v>
      </c>
      <c r="D743" s="36" t="s">
        <v>28</v>
      </c>
      <c r="E743" s="37"/>
      <c r="F743" s="43">
        <v>22.86</v>
      </c>
      <c r="G743" s="100">
        <f t="shared" si="11"/>
        <v>22.86</v>
      </c>
      <c r="H743" s="101"/>
      <c r="I743" s="100">
        <f>G743*H743</f>
        <v>0</v>
      </c>
      <c r="J743" s="39" t="s">
        <v>3336</v>
      </c>
      <c r="K743" s="40"/>
      <c r="L743" s="41"/>
      <c r="M743" s="44"/>
      <c r="N743" s="44"/>
    </row>
    <row r="744" spans="1:14" customFormat="1" ht="41.4">
      <c r="A744" s="35" t="s">
        <v>1686</v>
      </c>
      <c r="B744" s="19" t="s">
        <v>1687</v>
      </c>
      <c r="C744" s="20" t="s">
        <v>3844</v>
      </c>
      <c r="D744" s="36" t="s">
        <v>28</v>
      </c>
      <c r="E744" s="37" t="s">
        <v>3278</v>
      </c>
      <c r="F744" s="43">
        <v>0.36000000000000004</v>
      </c>
      <c r="G744" s="100">
        <f t="shared" si="11"/>
        <v>0.36</v>
      </c>
      <c r="H744" s="101"/>
      <c r="I744" s="100">
        <f>G744*H744</f>
        <v>0</v>
      </c>
      <c r="J744" s="39" t="s">
        <v>3336</v>
      </c>
      <c r="K744" s="40" t="s">
        <v>31</v>
      </c>
      <c r="L744" s="41"/>
      <c r="M744" s="42" t="str">
        <f>HYPERLINK("https://catalog.onliner.by/ledpowersupply/neonnight/n134035", "https://catalog.onliner.by/ledpowersupply/neonnight/n134035")</f>
        <v>https://catalog.onliner.by/ledpowersupply/neonnight/n134035</v>
      </c>
      <c r="N744" s="42" t="str">
        <f>HYPERLINK("https://pronto.by/catalog/product/134-035.html", "https://pronto.by/catalog/product/134-035.html")</f>
        <v>https://pronto.by/catalog/product/134-035.html</v>
      </c>
    </row>
    <row r="745" spans="1:14" customFormat="1" ht="41.4">
      <c r="A745" s="35" t="s">
        <v>1688</v>
      </c>
      <c r="B745" s="19" t="s">
        <v>1689</v>
      </c>
      <c r="C745" s="20" t="s">
        <v>3845</v>
      </c>
      <c r="D745" s="36" t="s">
        <v>28</v>
      </c>
      <c r="E745" s="37" t="s">
        <v>3268</v>
      </c>
      <c r="F745" s="43">
        <v>2.2200000000000002</v>
      </c>
      <c r="G745" s="100">
        <f t="shared" si="11"/>
        <v>2.2200000000000002</v>
      </c>
      <c r="H745" s="101"/>
      <c r="I745" s="100">
        <f>G745*H745</f>
        <v>0</v>
      </c>
      <c r="J745" s="39" t="s">
        <v>3336</v>
      </c>
      <c r="K745" s="40" t="s">
        <v>31</v>
      </c>
      <c r="L745" s="41"/>
      <c r="M745" s="44" t="e">
        <f>VLOOKUP(A745,#REF!,4,0)</f>
        <v>#REF!</v>
      </c>
      <c r="N745" s="42" t="str">
        <f>HYPERLINK("https://pronto.by/catalog/product/134-033.html", "https://pronto.by/catalog/product/134-033.html")</f>
        <v>https://pronto.by/catalog/product/134-033.html</v>
      </c>
    </row>
    <row r="746" spans="1:14" customFormat="1" ht="41.4">
      <c r="A746" s="35" t="s">
        <v>1690</v>
      </c>
      <c r="B746" s="19" t="s">
        <v>1691</v>
      </c>
      <c r="C746" s="20" t="s">
        <v>3846</v>
      </c>
      <c r="D746" s="36" t="s">
        <v>28</v>
      </c>
      <c r="E746" s="37" t="s">
        <v>3270</v>
      </c>
      <c r="F746" s="43">
        <v>2.4600000000000004</v>
      </c>
      <c r="G746" s="100">
        <f t="shared" si="11"/>
        <v>2.46</v>
      </c>
      <c r="H746" s="101"/>
      <c r="I746" s="100">
        <f>G746*H746</f>
        <v>0</v>
      </c>
      <c r="J746" s="39" t="s">
        <v>3336</v>
      </c>
      <c r="K746" s="40" t="s">
        <v>31</v>
      </c>
      <c r="L746" s="41"/>
      <c r="M746" s="44" t="e">
        <f>VLOOKUP(A746,#REF!,4,0)</f>
        <v>#REF!</v>
      </c>
      <c r="N746" s="42" t="str">
        <f>HYPERLINK("https://pronto.by/catalog/product/134-027.html", "https://pronto.by/catalog/product/134-027.html")</f>
        <v>https://pronto.by/catalog/product/134-027.html</v>
      </c>
    </row>
    <row r="747" spans="1:14" customFormat="1" ht="41.4">
      <c r="A747" s="35" t="s">
        <v>1692</v>
      </c>
      <c r="B747" s="19" t="s">
        <v>1693</v>
      </c>
      <c r="C747" s="20" t="s">
        <v>3847</v>
      </c>
      <c r="D747" s="36" t="s">
        <v>28</v>
      </c>
      <c r="E747" s="37" t="s">
        <v>3270</v>
      </c>
      <c r="F747" s="43">
        <v>2.6999999999999997</v>
      </c>
      <c r="G747" s="100">
        <f t="shared" si="11"/>
        <v>2.7</v>
      </c>
      <c r="H747" s="101"/>
      <c r="I747" s="100">
        <f>G747*H747</f>
        <v>0</v>
      </c>
      <c r="J747" s="39" t="s">
        <v>3336</v>
      </c>
      <c r="K747" s="40" t="s">
        <v>31</v>
      </c>
      <c r="L747" s="41"/>
      <c r="M747" s="44" t="e">
        <f>VLOOKUP(A747,#REF!,4,0)</f>
        <v>#REF!</v>
      </c>
      <c r="N747" s="42" t="str">
        <f>HYPERLINK("https://pronto.by/catalog/product/134-017.html", "https://pronto.by/catalog/product/134-017.html")</f>
        <v>https://pronto.by/catalog/product/134-017.html</v>
      </c>
    </row>
    <row r="748" spans="1:14" customFormat="1" ht="41.4">
      <c r="A748" s="35" t="s">
        <v>1694</v>
      </c>
      <c r="B748" s="19" t="s">
        <v>1695</v>
      </c>
      <c r="C748" s="20" t="s">
        <v>3848</v>
      </c>
      <c r="D748" s="36" t="s">
        <v>28</v>
      </c>
      <c r="E748" s="37" t="s">
        <v>3270</v>
      </c>
      <c r="F748" s="43">
        <v>2.2200000000000002</v>
      </c>
      <c r="G748" s="100">
        <f t="shared" si="11"/>
        <v>2.2200000000000002</v>
      </c>
      <c r="H748" s="101"/>
      <c r="I748" s="100">
        <f>G748*H748</f>
        <v>0</v>
      </c>
      <c r="J748" s="39" t="s">
        <v>3336</v>
      </c>
      <c r="K748" s="40" t="s">
        <v>31</v>
      </c>
      <c r="L748" s="41"/>
      <c r="M748" s="44" t="e">
        <f>VLOOKUP(A748,#REF!,4,0)</f>
        <v>#REF!</v>
      </c>
      <c r="N748" s="42" t="str">
        <f>HYPERLINK("https://pronto.by/catalog/product/134-031.html", "https://pronto.by/catalog/product/134-031.html")</f>
        <v>https://pronto.by/catalog/product/134-031.html</v>
      </c>
    </row>
    <row r="749" spans="1:14" customFormat="1" ht="30.6">
      <c r="A749" s="35" t="s">
        <v>3849</v>
      </c>
      <c r="B749" s="19" t="s">
        <v>3850</v>
      </c>
      <c r="C749" s="20" t="s">
        <v>3851</v>
      </c>
      <c r="D749" s="36" t="s">
        <v>28</v>
      </c>
      <c r="E749" s="37" t="s">
        <v>3261</v>
      </c>
      <c r="F749" s="43">
        <v>26.28</v>
      </c>
      <c r="G749" s="100">
        <f t="shared" si="11"/>
        <v>26.28</v>
      </c>
      <c r="H749" s="101"/>
      <c r="I749" s="100">
        <f>G749*H749</f>
        <v>0</v>
      </c>
      <c r="J749" s="39" t="s">
        <v>3336</v>
      </c>
      <c r="K749" s="40" t="s">
        <v>31</v>
      </c>
      <c r="L749" s="41"/>
      <c r="M749" s="42" t="str">
        <f>HYPERLINK("https://catalog.onliner.by/ledpowersupply/neonnight/134013", "https://catalog.onliner.by/ledpowersupply/neonnight/134013")</f>
        <v>https://catalog.onliner.by/ledpowersupply/neonnight/134013</v>
      </c>
      <c r="N749" s="42" t="str">
        <f>HYPERLINK("https://pronto.by/catalog/product/134-013.html", "https://pronto.by/catalog/product/134-013.html")</f>
        <v>https://pronto.by/catalog/product/134-013.html</v>
      </c>
    </row>
    <row r="750" spans="1:14" customFormat="1" ht="41.4">
      <c r="A750" s="35" t="s">
        <v>3852</v>
      </c>
      <c r="B750" s="19" t="s">
        <v>3853</v>
      </c>
      <c r="C750" s="20" t="s">
        <v>3854</v>
      </c>
      <c r="D750" s="36" t="s">
        <v>28</v>
      </c>
      <c r="E750" s="37" t="s">
        <v>3265</v>
      </c>
      <c r="F750" s="43">
        <v>16.5</v>
      </c>
      <c r="G750" s="100">
        <f t="shared" si="11"/>
        <v>16.5</v>
      </c>
      <c r="H750" s="101"/>
      <c r="I750" s="100">
        <f>G750*H750</f>
        <v>0</v>
      </c>
      <c r="J750" s="39" t="s">
        <v>3336</v>
      </c>
      <c r="K750" s="40" t="s">
        <v>31</v>
      </c>
      <c r="L750" s="41"/>
      <c r="M750" s="42" t="str">
        <f>HYPERLINK("https://catalog.onliner.by/ledpowersupply/neonnight/134015", "https://catalog.onliner.by/ledpowersupply/neonnight/134015")</f>
        <v>https://catalog.onliner.by/ledpowersupply/neonnight/134015</v>
      </c>
      <c r="N750" s="42" t="str">
        <f>HYPERLINK("https://pronto.by/catalog/product/134-015.html", "https://pronto.by/catalog/product/134-015.html")</f>
        <v>https://pronto.by/catalog/product/134-015.html</v>
      </c>
    </row>
    <row r="751" spans="1:14" customFormat="1" ht="41.4">
      <c r="A751" s="35" t="s">
        <v>3855</v>
      </c>
      <c r="B751" s="19" t="s">
        <v>3856</v>
      </c>
      <c r="C751" s="20" t="s">
        <v>3857</v>
      </c>
      <c r="D751" s="36" t="s">
        <v>28</v>
      </c>
      <c r="E751" s="37" t="s">
        <v>3260</v>
      </c>
      <c r="F751" s="43">
        <v>16.5</v>
      </c>
      <c r="G751" s="100">
        <f t="shared" si="11"/>
        <v>16.5</v>
      </c>
      <c r="H751" s="101"/>
      <c r="I751" s="100">
        <f>G751*H751</f>
        <v>0</v>
      </c>
      <c r="J751" s="39" t="s">
        <v>3336</v>
      </c>
      <c r="K751" s="40" t="s">
        <v>41</v>
      </c>
      <c r="L751" s="41"/>
      <c r="M751" s="42" t="str">
        <f>HYPERLINK("https://catalog.onliner.by/ledpowersupply/neonnight/n134010", "https://catalog.onliner.by/ledpowersupply/neonnight/n134010")</f>
        <v>https://catalog.onliner.by/ledpowersupply/neonnight/n134010</v>
      </c>
      <c r="N751" s="42" t="str">
        <f>HYPERLINK("https://pronto.by/catalog/product/134-010.html", "https://pronto.by/catalog/product/134-010.html")</f>
        <v>https://pronto.by/catalog/product/134-010.html</v>
      </c>
    </row>
    <row r="752" spans="1:14" customFormat="1" ht="41.4">
      <c r="A752" s="35" t="s">
        <v>1696</v>
      </c>
      <c r="B752" s="19" t="s">
        <v>1697</v>
      </c>
      <c r="C752" s="20" t="s">
        <v>1698</v>
      </c>
      <c r="D752" s="36" t="s">
        <v>28</v>
      </c>
      <c r="E752" s="37" t="s">
        <v>3260</v>
      </c>
      <c r="F752" s="43">
        <v>18.059999999999999</v>
      </c>
      <c r="G752" s="100">
        <f t="shared" si="11"/>
        <v>18.059999999999999</v>
      </c>
      <c r="H752" s="101"/>
      <c r="I752" s="100">
        <f>G752*H752</f>
        <v>0</v>
      </c>
      <c r="J752" s="39" t="s">
        <v>3336</v>
      </c>
      <c r="K752" s="40" t="s">
        <v>31</v>
      </c>
      <c r="L752" s="41"/>
      <c r="M752" s="42" t="str">
        <f>HYPERLINK("https://catalog.onliner.by/ledpowersupply/neonnight/134012", "https://catalog.onliner.by/ledpowersupply/neonnight/134012")</f>
        <v>https://catalog.onliner.by/ledpowersupply/neonnight/134012</v>
      </c>
      <c r="N752" s="42" t="str">
        <f>HYPERLINK("https://pronto.by/catalog/product/134-012.html", "https://pronto.by/catalog/product/134-012.html")</f>
        <v>https://pronto.by/catalog/product/134-012.html</v>
      </c>
    </row>
    <row r="753" spans="1:14" customFormat="1" ht="41.4">
      <c r="A753" s="35" t="s">
        <v>3858</v>
      </c>
      <c r="B753" s="19" t="s">
        <v>3859</v>
      </c>
      <c r="C753" s="20" t="s">
        <v>3860</v>
      </c>
      <c r="D753" s="36" t="s">
        <v>28</v>
      </c>
      <c r="E753" s="37" t="s">
        <v>3260</v>
      </c>
      <c r="F753" s="43">
        <v>16.5</v>
      </c>
      <c r="G753" s="100">
        <f t="shared" si="11"/>
        <v>16.5</v>
      </c>
      <c r="H753" s="101"/>
      <c r="I753" s="100">
        <f>G753*H753</f>
        <v>0</v>
      </c>
      <c r="J753" s="39" t="s">
        <v>3336</v>
      </c>
      <c r="K753" s="40" t="s">
        <v>41</v>
      </c>
      <c r="L753" s="41"/>
      <c r="M753" s="42" t="str">
        <f>HYPERLINK("https://catalog.onliner.by/ledpowersupply/neonnight/134018", "https://catalog.onliner.by/ledpowersupply/neonnight/134018")</f>
        <v>https://catalog.onliner.by/ledpowersupply/neonnight/134018</v>
      </c>
      <c r="N753" s="42" t="str">
        <f>HYPERLINK("https://pronto.by/catalog/product/134-018.html", "https://pronto.by/catalog/product/134-018.html")</f>
        <v>https://pronto.by/catalog/product/134-018.html</v>
      </c>
    </row>
    <row r="754" spans="1:14" customFormat="1" ht="41.4">
      <c r="A754" s="35" t="s">
        <v>3861</v>
      </c>
      <c r="B754" s="19" t="s">
        <v>3862</v>
      </c>
      <c r="C754" s="20" t="s">
        <v>3863</v>
      </c>
      <c r="D754" s="36" t="s">
        <v>28</v>
      </c>
      <c r="E754" s="37" t="s">
        <v>3260</v>
      </c>
      <c r="F754" s="43">
        <v>16.5</v>
      </c>
      <c r="G754" s="100">
        <f t="shared" si="11"/>
        <v>16.5</v>
      </c>
      <c r="H754" s="101"/>
      <c r="I754" s="100">
        <f>G754*H754</f>
        <v>0</v>
      </c>
      <c r="J754" s="39" t="s">
        <v>3336</v>
      </c>
      <c r="K754" s="40" t="s">
        <v>31</v>
      </c>
      <c r="L754" s="41"/>
      <c r="M754" s="42" t="str">
        <f>HYPERLINK("https://catalog.onliner.by/ledpowersupply/neonnight/134019", "https://catalog.onliner.by/ledpowersupply/neonnight/134019")</f>
        <v>https://catalog.onliner.by/ledpowersupply/neonnight/134019</v>
      </c>
      <c r="N754" s="42" t="str">
        <f>HYPERLINK("https://pronto.by/catalog/product/134-019.html", "https://pronto.by/catalog/product/134-019.html")</f>
        <v>https://pronto.by/catalog/product/134-019.html</v>
      </c>
    </row>
    <row r="755" spans="1:14" customFormat="1" ht="82.8">
      <c r="A755" s="35" t="s">
        <v>1699</v>
      </c>
      <c r="B755" s="19" t="s">
        <v>1700</v>
      </c>
      <c r="C755" s="20" t="s">
        <v>1701</v>
      </c>
      <c r="D755" s="36" t="s">
        <v>28</v>
      </c>
      <c r="E755" s="37" t="s">
        <v>3262</v>
      </c>
      <c r="F755" s="43">
        <v>39.299999999999997</v>
      </c>
      <c r="G755" s="100">
        <f t="shared" si="11"/>
        <v>39.299999999999997</v>
      </c>
      <c r="H755" s="101"/>
      <c r="I755" s="100">
        <f>G755*H755</f>
        <v>0</v>
      </c>
      <c r="J755" s="39" t="s">
        <v>3336</v>
      </c>
      <c r="K755" s="40" t="s">
        <v>31</v>
      </c>
      <c r="L755" s="41"/>
      <c r="M755" s="44" t="e">
        <f>VLOOKUP(A755,#REF!,4,0)</f>
        <v>#REF!</v>
      </c>
      <c r="N755" s="42" t="str">
        <f>HYPERLINK("https://pronto.by/catalog/prazdnichnaya-svetotehnika/professional-professionalnye-proekty/gibkiy-neon/aksessuary-dlya-gibkogo-neona/134-501.html", "https://pronto.by/catalog/prazdnichnaya-svetotehnika/professional-professionalnye-proekty/gibkiy-neon/aksessuary-dlya-gibkogo-neona/134-501.html")</f>
        <v>https://pronto.by/catalog/prazdnichnaya-svetotehnika/professional-professionalnye-proekty/gibkiy-neon/aksessuary-dlya-gibkogo-neona/134-501.html</v>
      </c>
    </row>
    <row r="756" spans="1:14" customFormat="1" ht="82.8">
      <c r="A756" s="35" t="s">
        <v>1702</v>
      </c>
      <c r="B756" s="19" t="s">
        <v>1703</v>
      </c>
      <c r="C756" s="20" t="s">
        <v>1704</v>
      </c>
      <c r="D756" s="36" t="s">
        <v>28</v>
      </c>
      <c r="E756" s="37" t="s">
        <v>3260</v>
      </c>
      <c r="F756" s="43">
        <v>39.299999999999997</v>
      </c>
      <c r="G756" s="100">
        <f t="shared" si="11"/>
        <v>39.299999999999997</v>
      </c>
      <c r="H756" s="101"/>
      <c r="I756" s="100">
        <f>G756*H756</f>
        <v>0</v>
      </c>
      <c r="J756" s="39" t="s">
        <v>3336</v>
      </c>
      <c r="K756" s="40" t="s">
        <v>31</v>
      </c>
      <c r="L756" s="41"/>
      <c r="M756" s="44" t="e">
        <f>VLOOKUP(A756,#REF!,4,0)</f>
        <v>#REF!</v>
      </c>
      <c r="N756" s="42" t="str">
        <f>HYPERLINK("https://pronto.by/catalog/prazdnichnaya-svetotehnika/professional-professionalnye-proekty/gibkiy-neon/aksessuary-dlya-gibkogo-neona/134-502.html", "https://pronto.by/catalog/prazdnichnaya-svetotehnika/professional-professionalnye-proekty/gibkiy-neon/aksessuary-dlya-gibkogo-neona/134-502.html")</f>
        <v>https://pronto.by/catalog/prazdnichnaya-svetotehnika/professional-professionalnye-proekty/gibkiy-neon/aksessuary-dlya-gibkogo-neona/134-502.html</v>
      </c>
    </row>
    <row r="757" spans="1:14" customFormat="1" ht="82.8">
      <c r="A757" s="35" t="s">
        <v>1705</v>
      </c>
      <c r="B757" s="19" t="s">
        <v>1706</v>
      </c>
      <c r="C757" s="20" t="s">
        <v>1707</v>
      </c>
      <c r="D757" s="36" t="s">
        <v>28</v>
      </c>
      <c r="E757" s="37" t="s">
        <v>3260</v>
      </c>
      <c r="F757" s="43">
        <v>39.299999999999997</v>
      </c>
      <c r="G757" s="100">
        <f t="shared" si="11"/>
        <v>39.299999999999997</v>
      </c>
      <c r="H757" s="101"/>
      <c r="I757" s="100">
        <f>G757*H757</f>
        <v>0</v>
      </c>
      <c r="J757" s="39" t="s">
        <v>3336</v>
      </c>
      <c r="K757" s="40" t="s">
        <v>31</v>
      </c>
      <c r="L757" s="41"/>
      <c r="M757" s="44" t="e">
        <f>VLOOKUP(A757,#REF!,4,0)</f>
        <v>#REF!</v>
      </c>
      <c r="N757" s="42" t="str">
        <f>HYPERLINK("https://pronto.by/catalog/prazdnichnaya-svetotehnika/professional-professionalnye-proekty/gibkiy-neon/aksessuary-dlya-gibkogo-neona/134-503.html", "https://pronto.by/catalog/prazdnichnaya-svetotehnika/professional-professionalnye-proekty/gibkiy-neon/aksessuary-dlya-gibkogo-neona/134-503.html")</f>
        <v>https://pronto.by/catalog/prazdnichnaya-svetotehnika/professional-professionalnye-proekty/gibkiy-neon/aksessuary-dlya-gibkogo-neona/134-503.html</v>
      </c>
    </row>
    <row r="758" spans="1:14" customFormat="1" ht="82.8">
      <c r="A758" s="35" t="s">
        <v>1708</v>
      </c>
      <c r="B758" s="19" t="s">
        <v>1709</v>
      </c>
      <c r="C758" s="20" t="s">
        <v>1710</v>
      </c>
      <c r="D758" s="36" t="s">
        <v>28</v>
      </c>
      <c r="E758" s="37" t="s">
        <v>3260</v>
      </c>
      <c r="F758" s="43">
        <v>39.299999999999997</v>
      </c>
      <c r="G758" s="100">
        <f t="shared" si="11"/>
        <v>39.299999999999997</v>
      </c>
      <c r="H758" s="101"/>
      <c r="I758" s="100">
        <f>G758*H758</f>
        <v>0</v>
      </c>
      <c r="J758" s="39" t="s">
        <v>3336</v>
      </c>
      <c r="K758" s="40" t="s">
        <v>31</v>
      </c>
      <c r="L758" s="41"/>
      <c r="M758" s="44" t="e">
        <f>VLOOKUP(A758,#REF!,4,0)</f>
        <v>#REF!</v>
      </c>
      <c r="N758" s="42" t="str">
        <f>HYPERLINK("https://pronto.by/catalog/prazdnichnaya-svetotehnika/professional-professionalnye-proekty/gibkiy-neon/aksessuary-dlya-gibkogo-neona/134-504.html", "https://pronto.by/catalog/prazdnichnaya-svetotehnika/professional-professionalnye-proekty/gibkiy-neon/aksessuary-dlya-gibkogo-neona/134-504.html")</f>
        <v>https://pronto.by/catalog/prazdnichnaya-svetotehnika/professional-professionalnye-proekty/gibkiy-neon/aksessuary-dlya-gibkogo-neona/134-504.html</v>
      </c>
    </row>
    <row r="759" spans="1:14" customFormat="1" ht="15.6">
      <c r="A759" s="81" t="s">
        <v>3864</v>
      </c>
      <c r="B759" s="67"/>
      <c r="C759" s="67"/>
      <c r="D759" s="32"/>
      <c r="E759" s="32"/>
      <c r="F759" s="32"/>
      <c r="G759" s="52"/>
      <c r="H759" s="52"/>
      <c r="I759" s="52"/>
      <c r="J759" s="32"/>
      <c r="K759" s="32"/>
      <c r="L759" s="33"/>
      <c r="M759" s="33"/>
      <c r="N759" s="34"/>
    </row>
    <row r="760" spans="1:14" customFormat="1" ht="15.6">
      <c r="A760" s="81" t="s">
        <v>3865</v>
      </c>
      <c r="B760" s="67"/>
      <c r="C760" s="67"/>
      <c r="D760" s="32"/>
      <c r="E760" s="32"/>
      <c r="F760" s="32"/>
      <c r="G760" s="52"/>
      <c r="H760" s="52"/>
      <c r="I760" s="52"/>
      <c r="J760" s="32"/>
      <c r="K760" s="32"/>
      <c r="L760" s="33"/>
      <c r="M760" s="33"/>
      <c r="N760" s="34"/>
    </row>
    <row r="761" spans="1:14" customFormat="1" ht="82.8">
      <c r="A761" s="35" t="s">
        <v>1711</v>
      </c>
      <c r="B761" s="19" t="s">
        <v>1712</v>
      </c>
      <c r="C761" s="20" t="s">
        <v>1713</v>
      </c>
      <c r="D761" s="36" t="s">
        <v>28</v>
      </c>
      <c r="E761" s="37" t="s">
        <v>3273</v>
      </c>
      <c r="F761" s="43">
        <v>193.26000000000002</v>
      </c>
      <c r="G761" s="100">
        <f t="shared" si="11"/>
        <v>193.26</v>
      </c>
      <c r="H761" s="101"/>
      <c r="I761" s="100">
        <f>G761*H761</f>
        <v>0</v>
      </c>
      <c r="J761" s="39" t="s">
        <v>3336</v>
      </c>
      <c r="K761" s="40" t="s">
        <v>41</v>
      </c>
      <c r="L761" s="41"/>
      <c r="M761" s="42" t="str">
        <f>HYPERLINK("https://catalog.onliner.by/xmaslights/neonnight/235106235106", "https://catalog.onliner.by/xmaslights/neonnight/235106235106")</f>
        <v>https://catalog.onliner.by/xmaslights/neonnight/235106235106</v>
      </c>
      <c r="N761" s="42" t="str">
        <f>HYPERLINK("https://pronto.by/catalog/product/235-106.html", "https://pronto.by/catalog/product/235-106.html")</f>
        <v>https://pronto.by/catalog/product/235-106.html</v>
      </c>
    </row>
    <row r="762" spans="1:14" customFormat="1" ht="69">
      <c r="A762" s="35" t="s">
        <v>1714</v>
      </c>
      <c r="B762" s="19" t="s">
        <v>1715</v>
      </c>
      <c r="C762" s="20" t="s">
        <v>1716</v>
      </c>
      <c r="D762" s="36" t="s">
        <v>28</v>
      </c>
      <c r="E762" s="37" t="s">
        <v>3273</v>
      </c>
      <c r="F762" s="43">
        <v>216.9</v>
      </c>
      <c r="G762" s="100">
        <f t="shared" si="11"/>
        <v>216.9</v>
      </c>
      <c r="H762" s="101"/>
      <c r="I762" s="100">
        <f>G762*H762</f>
        <v>0</v>
      </c>
      <c r="J762" s="39" t="s">
        <v>3336</v>
      </c>
      <c r="K762" s="40" t="s">
        <v>41</v>
      </c>
      <c r="L762" s="41"/>
      <c r="M762" s="42" t="str">
        <f>HYPERLINK("https://catalog.onliner.by/xmaslights/neonnight/235336230", "https://catalog.onliner.by/xmaslights/neonnight/235336230")</f>
        <v>https://catalog.onliner.by/xmaslights/neonnight/235336230</v>
      </c>
      <c r="N762" s="42" t="str">
        <f>HYPERLINK("https://pronto.by/catalog/product/235-336.html", "https://pronto.by/catalog/product/235-336.html")</f>
        <v>https://pronto.by/catalog/product/235-336.html</v>
      </c>
    </row>
    <row r="763" spans="1:14" customFormat="1" ht="69">
      <c r="A763" s="35" t="s">
        <v>1717</v>
      </c>
      <c r="B763" s="19" t="s">
        <v>1718</v>
      </c>
      <c r="C763" s="20" t="s">
        <v>1719</v>
      </c>
      <c r="D763" s="36" t="s">
        <v>28</v>
      </c>
      <c r="E763" s="37" t="s">
        <v>3273</v>
      </c>
      <c r="F763" s="43">
        <v>193.26000000000002</v>
      </c>
      <c r="G763" s="100">
        <f t="shared" si="11"/>
        <v>193.26</v>
      </c>
      <c r="H763" s="101"/>
      <c r="I763" s="100">
        <f>G763*H763</f>
        <v>0</v>
      </c>
      <c r="J763" s="39" t="s">
        <v>3336</v>
      </c>
      <c r="K763" s="40" t="s">
        <v>41</v>
      </c>
      <c r="L763" s="41"/>
      <c r="M763" s="42" t="str">
        <f>HYPERLINK("https://catalog.onliner.by/xmaslights/neonnight/235286", "https://catalog.onliner.by/xmaslights/neonnight/235286")</f>
        <v>https://catalog.onliner.by/xmaslights/neonnight/235286</v>
      </c>
      <c r="N763" s="42" t="str">
        <f>HYPERLINK("https://pronto.by/catalog/product/235-286.html", "https://pronto.by/catalog/product/235-286.html")</f>
        <v>https://pronto.by/catalog/product/235-286.html</v>
      </c>
    </row>
    <row r="764" spans="1:14" customFormat="1" ht="69">
      <c r="A764" s="35" t="s">
        <v>1720</v>
      </c>
      <c r="B764" s="19" t="s">
        <v>1721</v>
      </c>
      <c r="C764" s="20" t="s">
        <v>1722</v>
      </c>
      <c r="D764" s="36" t="s">
        <v>28</v>
      </c>
      <c r="E764" s="37" t="s">
        <v>3273</v>
      </c>
      <c r="F764" s="43">
        <v>217.56</v>
      </c>
      <c r="G764" s="100">
        <f t="shared" si="11"/>
        <v>217.56</v>
      </c>
      <c r="H764" s="101"/>
      <c r="I764" s="100">
        <f>G764*H764</f>
        <v>0</v>
      </c>
      <c r="J764" s="39" t="s">
        <v>3336</v>
      </c>
      <c r="K764" s="40" t="s">
        <v>41</v>
      </c>
      <c r="L764" s="41"/>
      <c r="M764" s="42" t="str">
        <f>HYPERLINK("https://catalog.onliner.by/xmaslights/neonnight/235356", "https://catalog.onliner.by/xmaslights/neonnight/235356")</f>
        <v>https://catalog.onliner.by/xmaslights/neonnight/235356</v>
      </c>
      <c r="N764" s="42" t="str">
        <f>HYPERLINK("https://pronto.by/catalog/product/235-356.html", "https://pronto.by/catalog/product/235-356.html")</f>
        <v>https://pronto.by/catalog/product/235-356.html</v>
      </c>
    </row>
    <row r="765" spans="1:14" customFormat="1" ht="82.8">
      <c r="A765" s="35" t="s">
        <v>1723</v>
      </c>
      <c r="B765" s="19" t="s">
        <v>1724</v>
      </c>
      <c r="C765" s="20" t="s">
        <v>1725</v>
      </c>
      <c r="D765" s="36" t="s">
        <v>28</v>
      </c>
      <c r="E765" s="37" t="s">
        <v>3273</v>
      </c>
      <c r="F765" s="43">
        <v>193.26000000000002</v>
      </c>
      <c r="G765" s="100">
        <f t="shared" si="11"/>
        <v>193.26</v>
      </c>
      <c r="H765" s="101"/>
      <c r="I765" s="100">
        <f>G765*H765</f>
        <v>0</v>
      </c>
      <c r="J765" s="39" t="s">
        <v>3336</v>
      </c>
      <c r="K765" s="40" t="s">
        <v>41</v>
      </c>
      <c r="L765" s="41" t="s">
        <v>3866</v>
      </c>
      <c r="M765" s="42" t="str">
        <f>HYPERLINK("https://catalog.onliner.by/xmaslights/neonnight/235105235105", "https://catalog.onliner.by/xmaslights/neonnight/235105235105")</f>
        <v>https://catalog.onliner.by/xmaslights/neonnight/235105235105</v>
      </c>
      <c r="N765" s="42" t="str">
        <f>HYPERLINK("https://pronto.by/catalog/product/235-105.html", "https://pronto.by/catalog/product/235-105.html")</f>
        <v>https://pronto.by/catalog/product/235-105.html</v>
      </c>
    </row>
    <row r="766" spans="1:14" customFormat="1" ht="69">
      <c r="A766" s="35" t="s">
        <v>1726</v>
      </c>
      <c r="B766" s="19" t="s">
        <v>1727</v>
      </c>
      <c r="C766" s="20" t="s">
        <v>1728</v>
      </c>
      <c r="D766" s="36" t="s">
        <v>28</v>
      </c>
      <c r="E766" s="37" t="s">
        <v>3273</v>
      </c>
      <c r="F766" s="43">
        <v>140.88</v>
      </c>
      <c r="G766" s="100">
        <f t="shared" si="11"/>
        <v>140.88</v>
      </c>
      <c r="H766" s="101"/>
      <c r="I766" s="100">
        <f>G766*H766</f>
        <v>0</v>
      </c>
      <c r="J766" s="39" t="s">
        <v>3336</v>
      </c>
      <c r="K766" s="40" t="s">
        <v>41</v>
      </c>
      <c r="L766" s="41"/>
      <c r="M766" s="42" t="str">
        <f>HYPERLINK("https://catalog.onliner.by/xmaslights/neonnight/235104235104", "https://catalog.onliner.by/xmaslights/neonnight/235104235104")</f>
        <v>https://catalog.onliner.by/xmaslights/neonnight/235104235104</v>
      </c>
      <c r="N766" s="42" t="str">
        <f>HYPERLINK("https://pronto.by/catalog/product/235-104.html", "https://pronto.by/catalog/product/235-104.html")</f>
        <v>https://pronto.by/catalog/product/235-104.html</v>
      </c>
    </row>
    <row r="767" spans="1:14" customFormat="1" ht="69">
      <c r="A767" s="35" t="s">
        <v>1729</v>
      </c>
      <c r="B767" s="19" t="s">
        <v>1730</v>
      </c>
      <c r="C767" s="20" t="s">
        <v>1731</v>
      </c>
      <c r="D767" s="36" t="s">
        <v>28</v>
      </c>
      <c r="E767" s="37" t="s">
        <v>3273</v>
      </c>
      <c r="F767" s="43">
        <v>156.54000000000002</v>
      </c>
      <c r="G767" s="100">
        <f t="shared" si="11"/>
        <v>156.54</v>
      </c>
      <c r="H767" s="101"/>
      <c r="I767" s="100">
        <f>G767*H767</f>
        <v>0</v>
      </c>
      <c r="J767" s="39" t="s">
        <v>3336</v>
      </c>
      <c r="K767" s="40" t="s">
        <v>41</v>
      </c>
      <c r="L767" s="41"/>
      <c r="M767" s="42" t="str">
        <f>HYPERLINK("https://catalog.onliner.by/xmaslights/neonnight/235102235102", "https://catalog.onliner.by/xmaslights/neonnight/235102235102")</f>
        <v>https://catalog.onliner.by/xmaslights/neonnight/235102235102</v>
      </c>
      <c r="N767" s="42" t="str">
        <f>HYPERLINK("https://pronto.by/catalog/product/235-102.html", "https://pronto.by/catalog/product/235-102.html")</f>
        <v>https://pronto.by/catalog/product/235-102.html</v>
      </c>
    </row>
    <row r="768" spans="1:14" customFormat="1" ht="82.8">
      <c r="A768" s="35" t="s">
        <v>1732</v>
      </c>
      <c r="B768" s="19" t="s">
        <v>1733</v>
      </c>
      <c r="C768" s="20" t="s">
        <v>1734</v>
      </c>
      <c r="D768" s="36" t="s">
        <v>28</v>
      </c>
      <c r="E768" s="37" t="s">
        <v>3273</v>
      </c>
      <c r="F768" s="43">
        <v>193.26000000000002</v>
      </c>
      <c r="G768" s="100">
        <f t="shared" si="11"/>
        <v>193.26</v>
      </c>
      <c r="H768" s="101"/>
      <c r="I768" s="100">
        <f>G768*H768</f>
        <v>0</v>
      </c>
      <c r="J768" s="39" t="s">
        <v>3336</v>
      </c>
      <c r="K768" s="40" t="s">
        <v>69</v>
      </c>
      <c r="L768" s="41"/>
      <c r="M768" s="42" t="str">
        <f>HYPERLINK("https://catalog.onliner.by/xmaslights/neonnight/235103235103", "https://catalog.onliner.by/xmaslights/neonnight/235103235103")</f>
        <v>https://catalog.onliner.by/xmaslights/neonnight/235103235103</v>
      </c>
      <c r="N768" s="42" t="str">
        <f>HYPERLINK("https://pronto.by/catalog/product/235-103.html", "https://pronto.by/catalog/product/235-103.html")</f>
        <v>https://pronto.by/catalog/product/235-103.html</v>
      </c>
    </row>
    <row r="769" spans="1:14" customFormat="1" ht="15.6">
      <c r="A769" s="81" t="s">
        <v>3867</v>
      </c>
      <c r="B769" s="67"/>
      <c r="C769" s="67"/>
      <c r="D769" s="32"/>
      <c r="E769" s="32"/>
      <c r="F769" s="32"/>
      <c r="G769" s="52"/>
      <c r="H769" s="52"/>
      <c r="I769" s="52"/>
      <c r="J769" s="32"/>
      <c r="K769" s="32"/>
      <c r="L769" s="33"/>
      <c r="M769" s="33"/>
      <c r="N769" s="34"/>
    </row>
    <row r="770" spans="1:14" customFormat="1" ht="82.8">
      <c r="A770" s="35" t="s">
        <v>1735</v>
      </c>
      <c r="B770" s="19" t="s">
        <v>1736</v>
      </c>
      <c r="C770" s="20" t="s">
        <v>1737</v>
      </c>
      <c r="D770" s="36" t="s">
        <v>28</v>
      </c>
      <c r="E770" s="37" t="s">
        <v>3295</v>
      </c>
      <c r="F770" s="43">
        <v>245.82000000000002</v>
      </c>
      <c r="G770" s="100">
        <f t="shared" si="11"/>
        <v>245.82</v>
      </c>
      <c r="H770" s="101"/>
      <c r="I770" s="100">
        <f>G770*H770</f>
        <v>0</v>
      </c>
      <c r="J770" s="39" t="s">
        <v>3336</v>
      </c>
      <c r="K770" s="40" t="s">
        <v>41</v>
      </c>
      <c r="L770" s="41"/>
      <c r="M770" s="42" t="str">
        <f>HYPERLINK("https://catalog.onliner.by/xmaslights/neonnight/nn2353066", "https://catalog.onliner.by/xmaslights/neonnight/nn2353066")</f>
        <v>https://catalog.onliner.by/xmaslights/neonnight/nn2353066</v>
      </c>
      <c r="N770" s="42" t="str">
        <f>HYPERLINK("https://pronto.by/catalog/product/235-306-6.html", "https://pronto.by/catalog/product/235-306-6.html")</f>
        <v>https://pronto.by/catalog/product/235-306-6.html</v>
      </c>
    </row>
    <row r="771" spans="1:14" customFormat="1" ht="69">
      <c r="A771" s="35" t="s">
        <v>1738</v>
      </c>
      <c r="B771" s="19" t="s">
        <v>1739</v>
      </c>
      <c r="C771" s="20" t="s">
        <v>1740</v>
      </c>
      <c r="D771" s="36" t="s">
        <v>28</v>
      </c>
      <c r="E771" s="37" t="s">
        <v>3295</v>
      </c>
      <c r="F771" s="43">
        <v>315.78000000000003</v>
      </c>
      <c r="G771" s="100">
        <f t="shared" si="11"/>
        <v>315.77999999999997</v>
      </c>
      <c r="H771" s="101"/>
      <c r="I771" s="100">
        <f>G771*H771</f>
        <v>0</v>
      </c>
      <c r="J771" s="39" t="s">
        <v>3336</v>
      </c>
      <c r="K771" s="40" t="s">
        <v>69</v>
      </c>
      <c r="L771" s="41"/>
      <c r="M771" s="42" t="str">
        <f>HYPERLINK("https://catalog.onliner.by/xmaslights/neonnight/nn235115", "https://catalog.onliner.by/xmaslights/neonnight/nn235115")</f>
        <v>https://catalog.onliner.by/xmaslights/neonnight/nn235115</v>
      </c>
      <c r="N771" s="42" t="str">
        <f>HYPERLINK("https://pronto.by/catalog/product/235-115.html", "https://pronto.by/catalog/product/235-115.html")</f>
        <v>https://pronto.by/catalog/product/235-115.html</v>
      </c>
    </row>
    <row r="772" spans="1:14" customFormat="1" ht="69">
      <c r="A772" s="35" t="s">
        <v>1741</v>
      </c>
      <c r="B772" s="19" t="s">
        <v>1742</v>
      </c>
      <c r="C772" s="20" t="s">
        <v>1743</v>
      </c>
      <c r="D772" s="36" t="s">
        <v>28</v>
      </c>
      <c r="E772" s="37" t="s">
        <v>3295</v>
      </c>
      <c r="F772" s="43">
        <v>332.52000000000004</v>
      </c>
      <c r="G772" s="100">
        <f t="shared" si="11"/>
        <v>332.52</v>
      </c>
      <c r="H772" s="101"/>
      <c r="I772" s="100">
        <f>G772*H772</f>
        <v>0</v>
      </c>
      <c r="J772" s="39" t="s">
        <v>3336</v>
      </c>
      <c r="K772" s="40" t="s">
        <v>41</v>
      </c>
      <c r="L772" s="41" t="s">
        <v>3868</v>
      </c>
      <c r="M772" s="42" t="str">
        <f>HYPERLINK("https://catalog.onliner.by/xmaslights/neonnight/nn235221", "https://catalog.onliner.by/xmaslights/neonnight/nn235221")</f>
        <v>https://catalog.onliner.by/xmaslights/neonnight/nn235221</v>
      </c>
      <c r="N772" s="42" t="str">
        <f>HYPERLINK("https://pronto.by/catalog/product/235-221.html", "https://pronto.by/catalog/product/235-221.html")</f>
        <v>https://pronto.by/catalog/product/235-221.html</v>
      </c>
    </row>
    <row r="773" spans="1:14" customFormat="1" ht="69">
      <c r="A773" s="35" t="s">
        <v>1744</v>
      </c>
      <c r="B773" s="19" t="s">
        <v>1745</v>
      </c>
      <c r="C773" s="20" t="s">
        <v>1746</v>
      </c>
      <c r="D773" s="36" t="s">
        <v>28</v>
      </c>
      <c r="E773" s="37" t="s">
        <v>3283</v>
      </c>
      <c r="F773" s="43">
        <v>315.78000000000003</v>
      </c>
      <c r="G773" s="100">
        <f t="shared" si="11"/>
        <v>315.77999999999997</v>
      </c>
      <c r="H773" s="101"/>
      <c r="I773" s="100">
        <f>G773*H773</f>
        <v>0</v>
      </c>
      <c r="J773" s="39" t="s">
        <v>3336</v>
      </c>
      <c r="K773" s="40" t="s">
        <v>41</v>
      </c>
      <c r="L773" s="41"/>
      <c r="M773" s="42" t="str">
        <f>HYPERLINK("https://catalog.onliner.by/xmaslights/neonnight/nn235125", "https://catalog.onliner.by/xmaslights/neonnight/nn235125")</f>
        <v>https://catalog.onliner.by/xmaslights/neonnight/nn235125</v>
      </c>
      <c r="N773" s="42" t="str">
        <f>HYPERLINK("https://pronto.by/catalog/product/235-125.html", "https://pronto.by/catalog/product/235-125.html")</f>
        <v>https://pronto.by/catalog/product/235-125.html</v>
      </c>
    </row>
    <row r="774" spans="1:14" customFormat="1" ht="69">
      <c r="A774" s="35" t="s">
        <v>1747</v>
      </c>
      <c r="B774" s="19" t="s">
        <v>1748</v>
      </c>
      <c r="C774" s="20" t="s">
        <v>1749</v>
      </c>
      <c r="D774" s="36" t="s">
        <v>28</v>
      </c>
      <c r="E774" s="37" t="s">
        <v>3292</v>
      </c>
      <c r="F774" s="43">
        <v>332.52000000000004</v>
      </c>
      <c r="G774" s="100">
        <f t="shared" si="11"/>
        <v>332.52</v>
      </c>
      <c r="H774" s="101"/>
      <c r="I774" s="100">
        <f>G774*H774</f>
        <v>0</v>
      </c>
      <c r="J774" s="39" t="s">
        <v>3336</v>
      </c>
      <c r="K774" s="40" t="s">
        <v>69</v>
      </c>
      <c r="L774" s="41" t="s">
        <v>3869</v>
      </c>
      <c r="M774" s="42" t="str">
        <f>HYPERLINK("https://catalog.onliner.by/xmaslights/neonnight/nn235231", "https://catalog.onliner.by/xmaslights/neonnight/nn235231")</f>
        <v>https://catalog.onliner.by/xmaslights/neonnight/nn235231</v>
      </c>
      <c r="N774" s="42" t="str">
        <f>HYPERLINK("https://pronto.by/catalog/product/235-231.html", "https://pronto.by/catalog/product/235-231.html")</f>
        <v>https://pronto.by/catalog/product/235-231.html</v>
      </c>
    </row>
    <row r="775" spans="1:14" customFormat="1" ht="69">
      <c r="A775" s="35" t="s">
        <v>1750</v>
      </c>
      <c r="B775" s="19" t="s">
        <v>1751</v>
      </c>
      <c r="C775" s="20" t="s">
        <v>1752</v>
      </c>
      <c r="D775" s="36" t="s">
        <v>28</v>
      </c>
      <c r="E775" s="37" t="s">
        <v>3292</v>
      </c>
      <c r="F775" s="43">
        <v>315.78000000000003</v>
      </c>
      <c r="G775" s="100">
        <f t="shared" si="11"/>
        <v>315.77999999999997</v>
      </c>
      <c r="H775" s="101"/>
      <c r="I775" s="100">
        <f>G775*H775</f>
        <v>0</v>
      </c>
      <c r="J775" s="39" t="s">
        <v>3336</v>
      </c>
      <c r="K775" s="40" t="s">
        <v>69</v>
      </c>
      <c r="L775" s="41"/>
      <c r="M775" s="42" t="str">
        <f>HYPERLINK("https://catalog.onliner.by/xmaslights/neonnight/nn235116", "https://catalog.onliner.by/xmaslights/neonnight/nn235116")</f>
        <v>https://catalog.onliner.by/xmaslights/neonnight/nn235116</v>
      </c>
      <c r="N775" s="42" t="str">
        <f>HYPERLINK("https://pronto.by/catalog/product/235-116.html", "https://pronto.by/catalog/product/235-116.html")</f>
        <v>https://pronto.by/catalog/product/235-116.html</v>
      </c>
    </row>
    <row r="776" spans="1:14" customFormat="1" ht="82.8">
      <c r="A776" s="35" t="s">
        <v>1753</v>
      </c>
      <c r="B776" s="19" t="s">
        <v>1754</v>
      </c>
      <c r="C776" s="20" t="s">
        <v>1755</v>
      </c>
      <c r="D776" s="36" t="s">
        <v>28</v>
      </c>
      <c r="E776" s="37" t="s">
        <v>3290</v>
      </c>
      <c r="F776" s="43">
        <v>279.95999999999998</v>
      </c>
      <c r="G776" s="100">
        <f t="shared" si="11"/>
        <v>279.95999999999998</v>
      </c>
      <c r="H776" s="101"/>
      <c r="I776" s="100">
        <f>G776*H776</f>
        <v>0</v>
      </c>
      <c r="J776" s="39" t="s">
        <v>3336</v>
      </c>
      <c r="K776" s="40" t="s">
        <v>41</v>
      </c>
      <c r="L776" s="41"/>
      <c r="M776" s="42" t="str">
        <f>HYPERLINK("https://catalog.onliner.by/xmaslights/neonnight/nn235306", "https://catalog.onliner.by/xmaslights/neonnight/nn235306")</f>
        <v>https://catalog.onliner.by/xmaslights/neonnight/nn235306</v>
      </c>
      <c r="N776" s="42" t="str">
        <f>HYPERLINK("https://pronto.by/catalog/product/235-306.html", "https://pronto.by/catalog/product/235-306.html")</f>
        <v>https://pronto.by/catalog/product/235-306.html</v>
      </c>
    </row>
    <row r="777" spans="1:14" customFormat="1" ht="69">
      <c r="A777" s="35" t="s">
        <v>1756</v>
      </c>
      <c r="B777" s="19" t="s">
        <v>1757</v>
      </c>
      <c r="C777" s="20" t="s">
        <v>1758</v>
      </c>
      <c r="D777" s="36" t="s">
        <v>28</v>
      </c>
      <c r="E777" s="37" t="s">
        <v>3295</v>
      </c>
      <c r="F777" s="43">
        <v>332.52000000000004</v>
      </c>
      <c r="G777" s="100">
        <f t="shared" si="11"/>
        <v>332.52</v>
      </c>
      <c r="H777" s="101"/>
      <c r="I777" s="100">
        <f>G777*H777</f>
        <v>0</v>
      </c>
      <c r="J777" s="39" t="s">
        <v>3336</v>
      </c>
      <c r="K777" s="40" t="s">
        <v>69</v>
      </c>
      <c r="L777" s="41"/>
      <c r="M777" s="42" t="str">
        <f>HYPERLINK("https://catalog.onliner.by/xmaslights/neonnight/nn235316", "https://catalog.onliner.by/xmaslights/neonnight/nn235316")</f>
        <v>https://catalog.onliner.by/xmaslights/neonnight/nn235316</v>
      </c>
      <c r="N777" s="42" t="str">
        <f>HYPERLINK("https://pronto.by/catalog/product/235-316.html", "https://pronto.by/catalog/product/235-316.html")</f>
        <v>https://pronto.by/catalog/product/235-316.html</v>
      </c>
    </row>
    <row r="778" spans="1:14" customFormat="1" ht="69">
      <c r="A778" s="35" t="s">
        <v>1759</v>
      </c>
      <c r="B778" s="19" t="s">
        <v>1760</v>
      </c>
      <c r="C778" s="20" t="s">
        <v>1761</v>
      </c>
      <c r="D778" s="36" t="s">
        <v>28</v>
      </c>
      <c r="E778" s="37" t="s">
        <v>3283</v>
      </c>
      <c r="F778" s="43">
        <v>315.78000000000003</v>
      </c>
      <c r="G778" s="100">
        <f t="shared" si="11"/>
        <v>315.77999999999997</v>
      </c>
      <c r="H778" s="101"/>
      <c r="I778" s="100">
        <f>G778*H778</f>
        <v>0</v>
      </c>
      <c r="J778" s="39" t="s">
        <v>3336</v>
      </c>
      <c r="K778" s="40" t="s">
        <v>69</v>
      </c>
      <c r="L778" s="41"/>
      <c r="M778" s="42" t="str">
        <f>HYPERLINK("https://catalog.onliner.by/xmaslights/neonnight/nn235126", "https://catalog.onliner.by/xmaslights/neonnight/nn235126")</f>
        <v>https://catalog.onliner.by/xmaslights/neonnight/nn235126</v>
      </c>
      <c r="N778" s="42" t="str">
        <f>HYPERLINK("https://pronto.by/catalog/product/235-126.html", "https://pronto.by/catalog/product/235-126.html")</f>
        <v>https://pronto.by/catalog/product/235-126.html</v>
      </c>
    </row>
    <row r="779" spans="1:14" customFormat="1" ht="69">
      <c r="A779" s="35" t="s">
        <v>1762</v>
      </c>
      <c r="B779" s="19" t="s">
        <v>1763</v>
      </c>
      <c r="C779" s="20" t="s">
        <v>1764</v>
      </c>
      <c r="D779" s="36" t="s">
        <v>28</v>
      </c>
      <c r="E779" s="37" t="s">
        <v>3304</v>
      </c>
      <c r="F779" s="43">
        <v>255.84</v>
      </c>
      <c r="G779" s="100">
        <f t="shared" si="11"/>
        <v>255.84</v>
      </c>
      <c r="H779" s="101"/>
      <c r="I779" s="100">
        <f>G779*H779</f>
        <v>0</v>
      </c>
      <c r="J779" s="39" t="s">
        <v>3336</v>
      </c>
      <c r="K779" s="40" t="s">
        <v>41</v>
      </c>
      <c r="L779" s="41"/>
      <c r="M779" s="42" t="str">
        <f>HYPERLINK("https://catalog.onliner.by/xmaslights/neonnight/nn235113", "https://catalog.onliner.by/xmaslights/neonnight/nn235113")</f>
        <v>https://catalog.onliner.by/xmaslights/neonnight/nn235113</v>
      </c>
      <c r="N779" s="42" t="str">
        <f>HYPERLINK("https://pronto.by/catalog/product/235-113.html", "https://pronto.by/catalog/product/235-113.html")</f>
        <v>https://pronto.by/catalog/product/235-113.html</v>
      </c>
    </row>
    <row r="780" spans="1:14" customFormat="1" ht="69">
      <c r="A780" s="35" t="s">
        <v>1765</v>
      </c>
      <c r="B780" s="19" t="s">
        <v>1766</v>
      </c>
      <c r="C780" s="20" t="s">
        <v>1767</v>
      </c>
      <c r="D780" s="36" t="s">
        <v>28</v>
      </c>
      <c r="E780" s="37" t="s">
        <v>3295</v>
      </c>
      <c r="F780" s="43">
        <v>332.52000000000004</v>
      </c>
      <c r="G780" s="100">
        <f t="shared" si="11"/>
        <v>332.52</v>
      </c>
      <c r="H780" s="101"/>
      <c r="I780" s="100">
        <f>G780*H780</f>
        <v>0</v>
      </c>
      <c r="J780" s="39" t="s">
        <v>3336</v>
      </c>
      <c r="K780" s="40" t="s">
        <v>69</v>
      </c>
      <c r="L780" s="41"/>
      <c r="M780" s="42" t="str">
        <f>HYPERLINK("https://catalog.onliner.by/xmaslights/neonnight/nn235223", "https://catalog.onliner.by/xmaslights/neonnight/nn235223")</f>
        <v>https://catalog.onliner.by/xmaslights/neonnight/nn235223</v>
      </c>
      <c r="N780" s="42" t="str">
        <f>HYPERLINK("https://pronto.by/catalog/product/235-223.html", "https://pronto.by/catalog/product/235-223.html")</f>
        <v>https://pronto.by/catalog/product/235-223.html</v>
      </c>
    </row>
    <row r="781" spans="1:14" customFormat="1" ht="81.599999999999994">
      <c r="A781" s="35" t="s">
        <v>1768</v>
      </c>
      <c r="B781" s="19" t="s">
        <v>1769</v>
      </c>
      <c r="C781" s="20" t="s">
        <v>1770</v>
      </c>
      <c r="D781" s="36" t="s">
        <v>28</v>
      </c>
      <c r="E781" s="37" t="s">
        <v>3295</v>
      </c>
      <c r="F781" s="43">
        <v>229.62000000000003</v>
      </c>
      <c r="G781" s="100">
        <f t="shared" si="11"/>
        <v>229.62</v>
      </c>
      <c r="H781" s="101"/>
      <c r="I781" s="100">
        <f>G781*H781</f>
        <v>0</v>
      </c>
      <c r="J781" s="39" t="s">
        <v>3336</v>
      </c>
      <c r="K781" s="40" t="s">
        <v>41</v>
      </c>
      <c r="L781" s="41"/>
      <c r="M781" s="42" t="str">
        <f>HYPERLINK("https://catalog.onliner.by/xmaslights/neonnight/nn235225", "https://catalog.onliner.by/xmaslights/neonnight/nn235225")</f>
        <v>https://catalog.onliner.by/xmaslights/neonnight/nn235225</v>
      </c>
      <c r="N781" s="42" t="str">
        <f>HYPERLINK("https://pronto.by/catalog/prazdnichnaya-svetotehnika/professional-professionalnye-proekty/girlyanda-zanaves-dozhd/zanaves-pvh/zanaves-pvh-2h15-m/235-225.html", "https://pronto.by/catalog/prazdnichnaya-svetotehnika/professional-professionalnye-proekty/girlyanda-zanaves-dozhd/zanaves-pvh/zanaves-pvh-2h15-m/235-225.html")</f>
        <v>https://pronto.by/catalog/prazdnichnaya-svetotehnika/professional-professionalnye-proekty/girlyanda-zanaves-dozhd/zanaves-pvh/zanaves-pvh-2h15-m/235-225.html</v>
      </c>
    </row>
    <row r="782" spans="1:14" customFormat="1" ht="55.2">
      <c r="A782" s="35" t="s">
        <v>1771</v>
      </c>
      <c r="B782" s="19" t="s">
        <v>1772</v>
      </c>
      <c r="C782" s="20" t="s">
        <v>1773</v>
      </c>
      <c r="D782" s="36" t="s">
        <v>28</v>
      </c>
      <c r="E782" s="37" t="s">
        <v>3295</v>
      </c>
      <c r="F782" s="43">
        <v>255.12</v>
      </c>
      <c r="G782" s="100">
        <f t="shared" si="11"/>
        <v>255.12</v>
      </c>
      <c r="H782" s="101"/>
      <c r="I782" s="100">
        <f>G782*H782</f>
        <v>0</v>
      </c>
      <c r="J782" s="39" t="s">
        <v>3336</v>
      </c>
      <c r="K782" s="40" t="s">
        <v>41</v>
      </c>
      <c r="L782" s="41"/>
      <c r="M782" s="42" t="str">
        <f>HYPERLINK("https://catalog.onliner.by/xmaslights/neonnight/nn235226", "https://catalog.onliner.by/xmaslights/neonnight/nn235226")</f>
        <v>https://catalog.onliner.by/xmaslights/neonnight/nn235226</v>
      </c>
      <c r="N782" s="42" t="str">
        <f>HYPERLINK("https://pronto.by/catalog/product/235-226.html", "https://pronto.by/catalog/product/235-226.html")</f>
        <v>https://pronto.by/catalog/product/235-226.html</v>
      </c>
    </row>
    <row r="783" spans="1:14" customFormat="1" ht="69">
      <c r="A783" s="35" t="s">
        <v>1774</v>
      </c>
      <c r="B783" s="19" t="s">
        <v>1775</v>
      </c>
      <c r="C783" s="20" t="s">
        <v>3870</v>
      </c>
      <c r="D783" s="36" t="s">
        <v>28</v>
      </c>
      <c r="E783" s="37" t="s">
        <v>3283</v>
      </c>
      <c r="F783" s="43">
        <v>245.82000000000002</v>
      </c>
      <c r="G783" s="100">
        <f t="shared" ref="G783:G846" si="12">ROUND(F783-F783*G$3,2)</f>
        <v>245.82</v>
      </c>
      <c r="H783" s="101"/>
      <c r="I783" s="100">
        <f>G783*H783</f>
        <v>0</v>
      </c>
      <c r="J783" s="39" t="s">
        <v>3336</v>
      </c>
      <c r="K783" s="40" t="s">
        <v>69</v>
      </c>
      <c r="L783" s="41"/>
      <c r="M783" s="42" t="str">
        <f>HYPERLINK("https://catalog.onliner.by/xmaslights/neonnight/nn2353056", "https://catalog.onliner.by/xmaslights/neonnight/nn2353056")</f>
        <v>https://catalog.onliner.by/xmaslights/neonnight/nn2353056</v>
      </c>
      <c r="N783" s="42" t="str">
        <f>HYPERLINK("https://pronto.by/catalog/product/235-305-6.html", "https://pronto.by/catalog/product/235-305-6.html")</f>
        <v>https://pronto.by/catalog/product/235-305-6.html</v>
      </c>
    </row>
    <row r="784" spans="1:14" customFormat="1" ht="82.8">
      <c r="A784" s="35" t="s">
        <v>1776</v>
      </c>
      <c r="B784" s="19" t="s">
        <v>1777</v>
      </c>
      <c r="C784" s="20" t="s">
        <v>1778</v>
      </c>
      <c r="D784" s="36" t="s">
        <v>28</v>
      </c>
      <c r="E784" s="37" t="s">
        <v>3283</v>
      </c>
      <c r="F784" s="43">
        <v>241.68</v>
      </c>
      <c r="G784" s="100">
        <f t="shared" si="12"/>
        <v>241.68</v>
      </c>
      <c r="H784" s="101"/>
      <c r="I784" s="100">
        <f>G784*H784</f>
        <v>0</v>
      </c>
      <c r="J784" s="39" t="s">
        <v>3336</v>
      </c>
      <c r="K784" s="40" t="s">
        <v>69</v>
      </c>
      <c r="L784" s="41"/>
      <c r="M784" s="42" t="str">
        <f>HYPERLINK("https://catalog.onliner.by/xmaslights/neonnight/nn2353016", "https://catalog.onliner.by/xmaslights/neonnight/nn2353016")</f>
        <v>https://catalog.onliner.by/xmaslights/neonnight/nn2353016</v>
      </c>
      <c r="N784" s="42" t="str">
        <f>HYPERLINK("https://pronto.by/catalog/product/235-301-6.html", "https://pronto.by/catalog/product/235-301-6.html")</f>
        <v>https://pronto.by/catalog/product/235-301-6.html</v>
      </c>
    </row>
    <row r="785" spans="1:14" customFormat="1" ht="69">
      <c r="A785" s="35" t="s">
        <v>1779</v>
      </c>
      <c r="B785" s="19" t="s">
        <v>1780</v>
      </c>
      <c r="C785" s="20" t="s">
        <v>1781</v>
      </c>
      <c r="D785" s="36" t="s">
        <v>28</v>
      </c>
      <c r="E785" s="37" t="s">
        <v>3283</v>
      </c>
      <c r="F785" s="43">
        <v>245.82000000000002</v>
      </c>
      <c r="G785" s="100">
        <f t="shared" si="12"/>
        <v>245.82</v>
      </c>
      <c r="H785" s="101"/>
      <c r="I785" s="100">
        <f>G785*H785</f>
        <v>0</v>
      </c>
      <c r="J785" s="39" t="s">
        <v>3336</v>
      </c>
      <c r="K785" s="40" t="s">
        <v>41</v>
      </c>
      <c r="L785" s="41"/>
      <c r="M785" s="42" t="str">
        <f>HYPERLINK("https://catalog.onliner.by/xmaslights/neonnight/nn2353046", "https://catalog.onliner.by/xmaslights/neonnight/nn2353046")</f>
        <v>https://catalog.onliner.by/xmaslights/neonnight/nn2353046</v>
      </c>
      <c r="N785" s="42" t="str">
        <f>HYPERLINK("https://pronto.by/catalog/product/235-304-6.html", "https://pronto.by/catalog/product/235-304-6.html")</f>
        <v>https://pronto.by/catalog/product/235-304-6.html</v>
      </c>
    </row>
    <row r="786" spans="1:14" customFormat="1" ht="69">
      <c r="A786" s="35" t="s">
        <v>1782</v>
      </c>
      <c r="B786" s="19" t="s">
        <v>1783</v>
      </c>
      <c r="C786" s="20" t="s">
        <v>1784</v>
      </c>
      <c r="D786" s="36" t="s">
        <v>28</v>
      </c>
      <c r="E786" s="37" t="s">
        <v>3295</v>
      </c>
      <c r="F786" s="43">
        <v>207.29999999999998</v>
      </c>
      <c r="G786" s="100">
        <f t="shared" si="12"/>
        <v>207.3</v>
      </c>
      <c r="H786" s="101"/>
      <c r="I786" s="100">
        <f>G786*H786</f>
        <v>0</v>
      </c>
      <c r="J786" s="39" t="s">
        <v>3336</v>
      </c>
      <c r="K786" s="40" t="s">
        <v>41</v>
      </c>
      <c r="L786" s="41"/>
      <c r="M786" s="42" t="str">
        <f>HYPERLINK("https://catalog.onliner.by/xmaslights/neonnight/nn2353096", "https://catalog.onliner.by/xmaslights/neonnight/nn2353096")</f>
        <v>https://catalog.onliner.by/xmaslights/neonnight/nn2353096</v>
      </c>
      <c r="N786" s="42" t="str">
        <f>HYPERLINK("https://pronto.by/catalog/product/235-309-6.html", "https://pronto.by/catalog/product/235-309-6.html")</f>
        <v>https://pronto.by/catalog/product/235-309-6.html</v>
      </c>
    </row>
    <row r="787" spans="1:14" customFormat="1" ht="69">
      <c r="A787" s="35" t="s">
        <v>1785</v>
      </c>
      <c r="B787" s="19" t="s">
        <v>1786</v>
      </c>
      <c r="C787" s="20" t="s">
        <v>1787</v>
      </c>
      <c r="D787" s="36" t="s">
        <v>28</v>
      </c>
      <c r="E787" s="37" t="s">
        <v>3295</v>
      </c>
      <c r="F787" s="43">
        <v>245.82000000000002</v>
      </c>
      <c r="G787" s="100">
        <f t="shared" si="12"/>
        <v>245.82</v>
      </c>
      <c r="H787" s="101"/>
      <c r="I787" s="100">
        <f>G787*H787</f>
        <v>0</v>
      </c>
      <c r="J787" s="39" t="s">
        <v>3336</v>
      </c>
      <c r="K787" s="40" t="s">
        <v>41</v>
      </c>
      <c r="L787" s="41"/>
      <c r="M787" s="42" t="str">
        <f>HYPERLINK("https://catalog.onliner.by/xmaslights/neonnight/nn2353036", "https://catalog.onliner.by/xmaslights/neonnight/nn2353036")</f>
        <v>https://catalog.onliner.by/xmaslights/neonnight/nn2353036</v>
      </c>
      <c r="N787" s="42" t="str">
        <f>HYPERLINK("https://pronto.by/catalog/product/235-303-6.html", "https://pronto.by/catalog/product/235-303-6.html")</f>
        <v>https://pronto.by/catalog/product/235-303-6.html</v>
      </c>
    </row>
    <row r="788" spans="1:14" customFormat="1" ht="69">
      <c r="A788" s="35" t="s">
        <v>1788</v>
      </c>
      <c r="B788" s="19" t="s">
        <v>1789</v>
      </c>
      <c r="C788" s="20" t="s">
        <v>1790</v>
      </c>
      <c r="D788" s="36" t="s">
        <v>28</v>
      </c>
      <c r="E788" s="37" t="s">
        <v>3295</v>
      </c>
      <c r="F788" s="43">
        <v>774.96</v>
      </c>
      <c r="G788" s="100">
        <f t="shared" si="12"/>
        <v>774.96</v>
      </c>
      <c r="H788" s="101"/>
      <c r="I788" s="100">
        <f>G788*H788</f>
        <v>0</v>
      </c>
      <c r="J788" s="39" t="s">
        <v>3336</v>
      </c>
      <c r="K788" s="40" t="s">
        <v>41</v>
      </c>
      <c r="L788" s="41"/>
      <c r="M788" s="42" t="str">
        <f>HYPERLINK("https://catalog.onliner.by/xmaslights/neonnight/245309245309", "https://catalog.onliner.by/xmaslights/neonnight/245309245309")</f>
        <v>https://catalog.onliner.by/xmaslights/neonnight/245309245309</v>
      </c>
      <c r="N788" s="42" t="str">
        <f>HYPERLINK("https://pronto.by/catalog/product/245-309.html", "https://pronto.by/catalog/product/245-309.html")</f>
        <v>https://pronto.by/catalog/product/245-309.html</v>
      </c>
    </row>
    <row r="789" spans="1:14" customFormat="1" ht="69">
      <c r="A789" s="35" t="s">
        <v>1791</v>
      </c>
      <c r="B789" s="19" t="s">
        <v>1792</v>
      </c>
      <c r="C789" s="20" t="s">
        <v>1793</v>
      </c>
      <c r="D789" s="36" t="s">
        <v>28</v>
      </c>
      <c r="E789" s="37" t="s">
        <v>3295</v>
      </c>
      <c r="F789" s="43">
        <v>279.95999999999998</v>
      </c>
      <c r="G789" s="100">
        <f t="shared" si="12"/>
        <v>279.95999999999998</v>
      </c>
      <c r="H789" s="101"/>
      <c r="I789" s="100">
        <f>G789*H789</f>
        <v>0</v>
      </c>
      <c r="J789" s="39" t="s">
        <v>3336</v>
      </c>
      <c r="K789" s="40" t="s">
        <v>41</v>
      </c>
      <c r="L789" s="41"/>
      <c r="M789" s="42" t="str">
        <f>HYPERLINK("https://catalog.onliner.by/xmaslights/neonnight/nn235305", "https://catalog.onliner.by/xmaslights/neonnight/nn235305")</f>
        <v>https://catalog.onliner.by/xmaslights/neonnight/nn235305</v>
      </c>
      <c r="N789" s="42" t="str">
        <f>HYPERLINK("https://pronto.by/catalog/product/235-305.html", "https://pronto.by/catalog/product/235-305.html")</f>
        <v>https://pronto.by/catalog/product/235-305.html</v>
      </c>
    </row>
    <row r="790" spans="1:14" customFormat="1" ht="69">
      <c r="A790" s="35" t="s">
        <v>1794</v>
      </c>
      <c r="B790" s="19" t="s">
        <v>1795</v>
      </c>
      <c r="C790" s="20" t="s">
        <v>1796</v>
      </c>
      <c r="D790" s="36" t="s">
        <v>28</v>
      </c>
      <c r="E790" s="37" t="s">
        <v>3295</v>
      </c>
      <c r="F790" s="43">
        <v>279.95999999999998</v>
      </c>
      <c r="G790" s="100">
        <f t="shared" si="12"/>
        <v>279.95999999999998</v>
      </c>
      <c r="H790" s="101"/>
      <c r="I790" s="100">
        <f>G790*H790</f>
        <v>0</v>
      </c>
      <c r="J790" s="39" t="s">
        <v>3336</v>
      </c>
      <c r="K790" s="40" t="s">
        <v>41</v>
      </c>
      <c r="L790" s="41"/>
      <c r="M790" s="42" t="str">
        <f>HYPERLINK("https://catalog.onliner.by/xmaslights/neonnight/nn235301", "https://catalog.onliner.by/xmaslights/neonnight/nn235301")</f>
        <v>https://catalog.onliner.by/xmaslights/neonnight/nn235301</v>
      </c>
      <c r="N790" s="42" t="str">
        <f>HYPERLINK("https://pronto.by/catalog/product/235-301.html", "https://pronto.by/catalog/product/235-301.html")</f>
        <v>https://pronto.by/catalog/product/235-301.html</v>
      </c>
    </row>
    <row r="791" spans="1:14" customFormat="1" ht="69">
      <c r="A791" s="35" t="s">
        <v>1797</v>
      </c>
      <c r="B791" s="19" t="s">
        <v>1798</v>
      </c>
      <c r="C791" s="20" t="s">
        <v>1799</v>
      </c>
      <c r="D791" s="36" t="s">
        <v>28</v>
      </c>
      <c r="E791" s="37" t="s">
        <v>3304</v>
      </c>
      <c r="F791" s="43">
        <v>218.16</v>
      </c>
      <c r="G791" s="100">
        <f t="shared" si="12"/>
        <v>218.16</v>
      </c>
      <c r="H791" s="101"/>
      <c r="I791" s="100">
        <f>G791*H791</f>
        <v>0</v>
      </c>
      <c r="J791" s="39" t="s">
        <v>3336</v>
      </c>
      <c r="K791" s="40" t="s">
        <v>41</v>
      </c>
      <c r="L791" s="41"/>
      <c r="M791" s="42" t="str">
        <f>HYPERLINK("https://catalog.onliner.by/xmaslights/neonnight/nn235304", "https://catalog.onliner.by/xmaslights/neonnight/nn235304")</f>
        <v>https://catalog.onliner.by/xmaslights/neonnight/nn235304</v>
      </c>
      <c r="N791" s="42" t="str">
        <f>HYPERLINK("https://pronto.by/catalog/product/235-304.html", "https://pronto.by/catalog/product/235-304.html")</f>
        <v>https://pronto.by/catalog/product/235-304.html</v>
      </c>
    </row>
    <row r="792" spans="1:14" customFormat="1" ht="69">
      <c r="A792" s="35" t="s">
        <v>1800</v>
      </c>
      <c r="B792" s="19" t="s">
        <v>1801</v>
      </c>
      <c r="C792" s="20" t="s">
        <v>1802</v>
      </c>
      <c r="D792" s="36" t="s">
        <v>28</v>
      </c>
      <c r="E792" s="37" t="s">
        <v>3304</v>
      </c>
      <c r="F792" s="43">
        <v>315.78000000000003</v>
      </c>
      <c r="G792" s="100">
        <f t="shared" si="12"/>
        <v>315.77999999999997</v>
      </c>
      <c r="H792" s="101"/>
      <c r="I792" s="100">
        <f>G792*H792</f>
        <v>0</v>
      </c>
      <c r="J792" s="39" t="s">
        <v>3336</v>
      </c>
      <c r="K792" s="40" t="s">
        <v>41</v>
      </c>
      <c r="L792" s="41"/>
      <c r="M792" s="42" t="str">
        <f>HYPERLINK("https://catalog.onliner.by/xmaslights/neonnight/nn235121", "https://catalog.onliner.by/xmaslights/neonnight/nn235121")</f>
        <v>https://catalog.onliner.by/xmaslights/neonnight/nn235121</v>
      </c>
      <c r="N792" s="42" t="str">
        <f>HYPERLINK("https://pronto.by/catalog/product/235-121.html", "https://pronto.by/catalog/product/235-121.html")</f>
        <v>https://pronto.by/catalog/product/235-121.html</v>
      </c>
    </row>
    <row r="793" spans="1:14" customFormat="1" ht="69">
      <c r="A793" s="35" t="s">
        <v>1803</v>
      </c>
      <c r="B793" s="19" t="s">
        <v>1804</v>
      </c>
      <c r="C793" s="20" t="s">
        <v>1805</v>
      </c>
      <c r="D793" s="36" t="s">
        <v>28</v>
      </c>
      <c r="E793" s="37" t="s">
        <v>3283</v>
      </c>
      <c r="F793" s="43">
        <v>243.06</v>
      </c>
      <c r="G793" s="100">
        <f t="shared" si="12"/>
        <v>243.06</v>
      </c>
      <c r="H793" s="101"/>
      <c r="I793" s="100">
        <f>G793*H793</f>
        <v>0</v>
      </c>
      <c r="J793" s="39" t="s">
        <v>3336</v>
      </c>
      <c r="K793" s="40" t="s">
        <v>41</v>
      </c>
      <c r="L793" s="41"/>
      <c r="M793" s="42" t="str">
        <f>HYPERLINK("https://catalog.onliner.by/xmaslights/neonnight/nn235124", "https://catalog.onliner.by/xmaslights/neonnight/nn235124")</f>
        <v>https://catalog.onliner.by/xmaslights/neonnight/nn235124</v>
      </c>
      <c r="N793" s="42" t="str">
        <f>HYPERLINK("https://pronto.by/catalog/product/235-124.html", "https://pronto.by/catalog/product/235-124.html")</f>
        <v>https://pronto.by/catalog/product/235-124.html</v>
      </c>
    </row>
    <row r="794" spans="1:14" customFormat="1" ht="69">
      <c r="A794" s="35" t="s">
        <v>1806</v>
      </c>
      <c r="B794" s="19" t="s">
        <v>1807</v>
      </c>
      <c r="C794" s="20" t="s">
        <v>1808</v>
      </c>
      <c r="D794" s="36" t="s">
        <v>28</v>
      </c>
      <c r="E794" s="37" t="s">
        <v>3295</v>
      </c>
      <c r="F794" s="43">
        <v>229.62000000000003</v>
      </c>
      <c r="G794" s="100">
        <f t="shared" si="12"/>
        <v>229.62</v>
      </c>
      <c r="H794" s="101"/>
      <c r="I794" s="100">
        <f>G794*H794</f>
        <v>0</v>
      </c>
      <c r="J794" s="39" t="s">
        <v>3336</v>
      </c>
      <c r="K794" s="40" t="s">
        <v>41</v>
      </c>
      <c r="L794" s="41"/>
      <c r="M794" s="42" t="str">
        <f>HYPERLINK("https://catalog.onliner.by/xmaslights/neonnight/nn235236", "https://catalog.onliner.by/xmaslights/neonnight/nn235236")</f>
        <v>https://catalog.onliner.by/xmaslights/neonnight/nn235236</v>
      </c>
      <c r="N794" s="42" t="str">
        <f>HYPERLINK("https://pronto.by/catalog/product/235-236.html", "https://pronto.by/catalog/product/235-236.html")</f>
        <v>https://pronto.by/catalog/product/235-236.html</v>
      </c>
    </row>
    <row r="795" spans="1:14" customFormat="1" ht="81.599999999999994">
      <c r="A795" s="35" t="s">
        <v>1809</v>
      </c>
      <c r="B795" s="19" t="s">
        <v>1810</v>
      </c>
      <c r="C795" s="20" t="s">
        <v>1811</v>
      </c>
      <c r="D795" s="36" t="s">
        <v>28</v>
      </c>
      <c r="E795" s="37" t="s">
        <v>3292</v>
      </c>
      <c r="F795" s="43">
        <v>263.22000000000003</v>
      </c>
      <c r="G795" s="100">
        <f t="shared" si="12"/>
        <v>263.22000000000003</v>
      </c>
      <c r="H795" s="101"/>
      <c r="I795" s="100">
        <f>G795*H795</f>
        <v>0</v>
      </c>
      <c r="J795" s="39" t="s">
        <v>3336</v>
      </c>
      <c r="K795" s="40" t="s">
        <v>41</v>
      </c>
      <c r="L795" s="41"/>
      <c r="M795" s="42" t="str">
        <f>HYPERLINK("https://catalog.onliner.by/xmaslights/neonnight/nn2353156", "https://catalog.onliner.by/xmaslights/neonnight/nn2353156")</f>
        <v>https://catalog.onliner.by/xmaslights/neonnight/nn2353156</v>
      </c>
      <c r="N795" s="42" t="str">
        <f>HYPERLINK("https://pronto.by/catalog/prazdnichnaya-svetotehnika/professional-professionalnye-proekty/girlyanda-zanaves-dozhd/zanaves-pvh/zanaves-pvh-2h15-m/235-315-6.html", "https://pronto.by/catalog/prazdnichnaya-svetotehnika/professional-professionalnye-proekty/girlyanda-zanaves-dozhd/zanaves-pvh/zanaves-pvh-2h15-m/235-315-6.html")</f>
        <v>https://pronto.by/catalog/prazdnichnaya-svetotehnika/professional-professionalnye-proekty/girlyanda-zanaves-dozhd/zanaves-pvh/zanaves-pvh-2h15-m/235-315-6.html</v>
      </c>
    </row>
    <row r="796" spans="1:14" customFormat="1" ht="81.599999999999994">
      <c r="A796" s="35" t="s">
        <v>1812</v>
      </c>
      <c r="B796" s="19" t="s">
        <v>1813</v>
      </c>
      <c r="C796" s="20" t="s">
        <v>1814</v>
      </c>
      <c r="D796" s="36" t="s">
        <v>28</v>
      </c>
      <c r="E796" s="37" t="s">
        <v>3292</v>
      </c>
      <c r="F796" s="43">
        <v>263.22000000000003</v>
      </c>
      <c r="G796" s="100">
        <f t="shared" si="12"/>
        <v>263.22000000000003</v>
      </c>
      <c r="H796" s="101"/>
      <c r="I796" s="100">
        <f>G796*H796</f>
        <v>0</v>
      </c>
      <c r="J796" s="39" t="s">
        <v>3336</v>
      </c>
      <c r="K796" s="40" t="s">
        <v>69</v>
      </c>
      <c r="L796" s="41"/>
      <c r="M796" s="42" t="str">
        <f>HYPERLINK("https://catalog.onliner.by/xmaslights/neonnight/nn2353166", "https://catalog.onliner.by/xmaslights/neonnight/nn2353166")</f>
        <v>https://catalog.onliner.by/xmaslights/neonnight/nn2353166</v>
      </c>
      <c r="N796" s="42" t="str">
        <f>HYPERLINK("https://pronto.by/catalog/prazdnichnaya-svetotehnika/professional-professionalnye-proekty/girlyanda-zanaves-dozhd/zanaves-pvh/zanaves-pvh-2h15-m/235-316-6.html", "https://pronto.by/catalog/prazdnichnaya-svetotehnika/professional-professionalnye-proekty/girlyanda-zanaves-dozhd/zanaves-pvh/zanaves-pvh-2h15-m/235-316-6.html")</f>
        <v>https://pronto.by/catalog/prazdnichnaya-svetotehnika/professional-professionalnye-proekty/girlyanda-zanaves-dozhd/zanaves-pvh/zanaves-pvh-2h15-m/235-316-6.html</v>
      </c>
    </row>
    <row r="797" spans="1:14" customFormat="1" ht="15.6">
      <c r="A797" s="81" t="s">
        <v>3871</v>
      </c>
      <c r="B797" s="67"/>
      <c r="C797" s="67"/>
      <c r="D797" s="32"/>
      <c r="E797" s="32"/>
      <c r="F797" s="32"/>
      <c r="G797" s="52"/>
      <c r="H797" s="52"/>
      <c r="I797" s="52"/>
      <c r="J797" s="32"/>
      <c r="K797" s="32"/>
      <c r="L797" s="33"/>
      <c r="M797" s="33"/>
      <c r="N797" s="34"/>
    </row>
    <row r="798" spans="1:14" customFormat="1" ht="81.599999999999994">
      <c r="A798" s="35" t="s">
        <v>1815</v>
      </c>
      <c r="B798" s="19" t="s">
        <v>1816</v>
      </c>
      <c r="C798" s="20" t="s">
        <v>3872</v>
      </c>
      <c r="D798" s="36" t="s">
        <v>28</v>
      </c>
      <c r="E798" s="37" t="s">
        <v>3290</v>
      </c>
      <c r="F798" s="43">
        <v>473.15999999999997</v>
      </c>
      <c r="G798" s="100">
        <f t="shared" si="12"/>
        <v>473.16</v>
      </c>
      <c r="H798" s="101"/>
      <c r="I798" s="100">
        <f>G798*H798</f>
        <v>0</v>
      </c>
      <c r="J798" s="39" t="s">
        <v>3336</v>
      </c>
      <c r="K798" s="40" t="s">
        <v>41</v>
      </c>
      <c r="L798" s="41"/>
      <c r="M798" s="42" t="str">
        <f>HYPERLINK("https://catalog.onliner.by/xmaslights/neonnight/nn2351366", "https://catalog.onliner.by/xmaslights/neonnight/nn2351366")</f>
        <v>https://catalog.onliner.by/xmaslights/neonnight/nn2351366</v>
      </c>
      <c r="N798" s="42" t="str">
        <f>HYPERLINK("https://pronto.by/catalog/prazdnichnaya-svetotehnika/professional-professionalnye-proekty/girlyanda-zanaves-dozhd/zanaves-pvh/zanaves-pvh-2h3-m/235-136-6.html", "https://pronto.by/catalog/prazdnichnaya-svetotehnika/professional-professionalnye-proekty/girlyanda-zanaves-dozhd/zanaves-pvh/zanaves-pvh-2h3-m/235-136-6.html")</f>
        <v>https://pronto.by/catalog/prazdnichnaya-svetotehnika/professional-professionalnye-proekty/girlyanda-zanaves-dozhd/zanaves-pvh/zanaves-pvh-2h3-m/235-136-6.html</v>
      </c>
    </row>
    <row r="799" spans="1:14" customFormat="1" ht="69">
      <c r="A799" s="35" t="s">
        <v>1817</v>
      </c>
      <c r="B799" s="19" t="s">
        <v>1818</v>
      </c>
      <c r="C799" s="20" t="s">
        <v>1819</v>
      </c>
      <c r="D799" s="36" t="s">
        <v>28</v>
      </c>
      <c r="E799" s="37" t="s">
        <v>3292</v>
      </c>
      <c r="F799" s="43">
        <v>526.19999999999993</v>
      </c>
      <c r="G799" s="100">
        <f t="shared" si="12"/>
        <v>526.20000000000005</v>
      </c>
      <c r="H799" s="101"/>
      <c r="I799" s="100">
        <f>G799*H799</f>
        <v>0</v>
      </c>
      <c r="J799" s="39" t="s">
        <v>3336</v>
      </c>
      <c r="K799" s="40" t="s">
        <v>69</v>
      </c>
      <c r="L799" s="41"/>
      <c r="M799" s="42" t="str">
        <f>HYPERLINK("https://catalog.onliner.by/xmaslights/neonnight/neon235366", "https://catalog.onliner.by/xmaslights/neonnight/neon235366")</f>
        <v>https://catalog.onliner.by/xmaslights/neonnight/neon235366</v>
      </c>
      <c r="N799" s="42" t="str">
        <f>HYPERLINK("https://pronto.by/catalog/product/235-366.html", "https://pronto.by/catalog/product/235-366.html")</f>
        <v>https://pronto.by/catalog/product/235-366.html</v>
      </c>
    </row>
    <row r="800" spans="1:14" customFormat="1" ht="82.8">
      <c r="A800" s="35" t="s">
        <v>1820</v>
      </c>
      <c r="B800" s="19" t="s">
        <v>1821</v>
      </c>
      <c r="C800" s="20" t="s">
        <v>3873</v>
      </c>
      <c r="D800" s="36" t="s">
        <v>28</v>
      </c>
      <c r="E800" s="37" t="s">
        <v>3290</v>
      </c>
      <c r="F800" s="43">
        <v>446.64000000000004</v>
      </c>
      <c r="G800" s="100">
        <f t="shared" si="12"/>
        <v>446.64</v>
      </c>
      <c r="H800" s="101"/>
      <c r="I800" s="100">
        <f>G800*H800</f>
        <v>0</v>
      </c>
      <c r="J800" s="39" t="s">
        <v>3336</v>
      </c>
      <c r="K800" s="40" t="s">
        <v>41</v>
      </c>
      <c r="L800" s="41"/>
      <c r="M800" s="42" t="str">
        <f>HYPERLINK("https://catalog.onliner.by/xmaslights/neonnight/nn2351556", "https://catalog.onliner.by/xmaslights/neonnight/nn2351556")</f>
        <v>https://catalog.onliner.by/xmaslights/neonnight/nn2351556</v>
      </c>
      <c r="N800" s="42" t="str">
        <f>HYPERLINK("https://pronto.by/catalog/product/235-155-6.html", "https://pronto.by/catalog/product/235-155-6.html")</f>
        <v>https://pronto.by/catalog/product/235-155-6.html</v>
      </c>
    </row>
    <row r="801" spans="1:14" customFormat="1" ht="82.8">
      <c r="A801" s="35" t="s">
        <v>1822</v>
      </c>
      <c r="B801" s="19" t="s">
        <v>1823</v>
      </c>
      <c r="C801" s="20" t="s">
        <v>1824</v>
      </c>
      <c r="D801" s="36" t="s">
        <v>28</v>
      </c>
      <c r="E801" s="37" t="s">
        <v>3290</v>
      </c>
      <c r="F801" s="43">
        <v>446.64000000000004</v>
      </c>
      <c r="G801" s="100">
        <f t="shared" si="12"/>
        <v>446.64</v>
      </c>
      <c r="H801" s="101"/>
      <c r="I801" s="100">
        <f>G801*H801</f>
        <v>0</v>
      </c>
      <c r="J801" s="39" t="s">
        <v>3336</v>
      </c>
      <c r="K801" s="40" t="s">
        <v>41</v>
      </c>
      <c r="L801" s="41"/>
      <c r="M801" s="42" t="str">
        <f>HYPERLINK("https://catalog.onliner.by/xmaslights/neonnight/nn2351566", "https://catalog.onliner.by/xmaslights/neonnight/nn2351566")</f>
        <v>https://catalog.onliner.by/xmaslights/neonnight/nn2351566</v>
      </c>
      <c r="N801" s="42" t="str">
        <f>HYPERLINK("https://pronto.by/catalog/product/235-156-6.html", "https://pronto.by/catalog/product/235-156-6.html")</f>
        <v>https://pronto.by/catalog/product/235-156-6.html</v>
      </c>
    </row>
    <row r="802" spans="1:14" customFormat="1" ht="69">
      <c r="A802" s="35" t="s">
        <v>1825</v>
      </c>
      <c r="B802" s="19" t="s">
        <v>1826</v>
      </c>
      <c r="C802" s="20" t="s">
        <v>1827</v>
      </c>
      <c r="D802" s="36" t="s">
        <v>28</v>
      </c>
      <c r="E802" s="37" t="s">
        <v>3304</v>
      </c>
      <c r="F802" s="43">
        <v>499.68</v>
      </c>
      <c r="G802" s="100">
        <f t="shared" si="12"/>
        <v>499.68</v>
      </c>
      <c r="H802" s="101"/>
      <c r="I802" s="100">
        <f>G802*H802</f>
        <v>0</v>
      </c>
      <c r="J802" s="39" t="s">
        <v>3336</v>
      </c>
      <c r="K802" s="40" t="s">
        <v>69</v>
      </c>
      <c r="L802" s="41"/>
      <c r="M802" s="42" t="str">
        <f>HYPERLINK("https://catalog.onliner.by/xmaslights/neonnight/nn235135", "https://catalog.onliner.by/xmaslights/neonnight/nn235135")</f>
        <v>https://catalog.onliner.by/xmaslights/neonnight/nn235135</v>
      </c>
      <c r="N802" s="42" t="str">
        <f>HYPERLINK("https://pronto.by/catalog/product/235-135.html", "https://pronto.by/catalog/product/235-135.html")</f>
        <v>https://pronto.by/catalog/product/235-135.html</v>
      </c>
    </row>
    <row r="803" spans="1:14" customFormat="1" ht="69">
      <c r="A803" s="35" t="s">
        <v>1828</v>
      </c>
      <c r="B803" s="19" t="s">
        <v>1829</v>
      </c>
      <c r="C803" s="20" t="s">
        <v>3874</v>
      </c>
      <c r="D803" s="36" t="s">
        <v>28</v>
      </c>
      <c r="E803" s="37" t="s">
        <v>3290</v>
      </c>
      <c r="F803" s="43">
        <v>526.19999999999993</v>
      </c>
      <c r="G803" s="100">
        <f t="shared" si="12"/>
        <v>526.20000000000005</v>
      </c>
      <c r="H803" s="101"/>
      <c r="I803" s="100">
        <f>G803*H803</f>
        <v>0</v>
      </c>
      <c r="J803" s="39" t="s">
        <v>3336</v>
      </c>
      <c r="K803" s="40" t="s">
        <v>69</v>
      </c>
      <c r="L803" s="41" t="s">
        <v>3875</v>
      </c>
      <c r="M803" s="42" t="str">
        <f>HYPERLINK("https://catalog.onliner.by/xmaslights/neonnight/nn235211", "https://catalog.onliner.by/xmaslights/neonnight/nn235211")</f>
        <v>https://catalog.onliner.by/xmaslights/neonnight/nn235211</v>
      </c>
      <c r="N803" s="42" t="str">
        <f>HYPERLINK("https://pronto.by/catalog/product/235-211.html", "https://pronto.by/catalog/product/235-211.html")</f>
        <v>https://pronto.by/catalog/product/235-211.html</v>
      </c>
    </row>
    <row r="804" spans="1:14" customFormat="1" ht="82.8">
      <c r="A804" s="35" t="s">
        <v>1830</v>
      </c>
      <c r="B804" s="19" t="s">
        <v>1831</v>
      </c>
      <c r="C804" s="20" t="s">
        <v>1832</v>
      </c>
      <c r="D804" s="36" t="s">
        <v>28</v>
      </c>
      <c r="E804" s="37" t="s">
        <v>3292</v>
      </c>
      <c r="F804" s="43">
        <v>499.68</v>
      </c>
      <c r="G804" s="100">
        <f t="shared" si="12"/>
        <v>499.68</v>
      </c>
      <c r="H804" s="101"/>
      <c r="I804" s="100">
        <f>G804*H804</f>
        <v>0</v>
      </c>
      <c r="J804" s="39" t="s">
        <v>3336</v>
      </c>
      <c r="K804" s="40" t="s">
        <v>69</v>
      </c>
      <c r="L804" s="41"/>
      <c r="M804" s="42" t="str">
        <f>HYPERLINK("https://catalog.onliner.by/xmaslights/neonnight/nn235155", "https://catalog.onliner.by/xmaslights/neonnight/nn235155")</f>
        <v>https://catalog.onliner.by/xmaslights/neonnight/nn235155</v>
      </c>
      <c r="N804" s="42" t="str">
        <f>HYPERLINK("https://pronto.by/catalog/product/235-155.html", "https://pronto.by/catalog/product/235-155.html")</f>
        <v>https://pronto.by/catalog/product/235-155.html</v>
      </c>
    </row>
    <row r="805" spans="1:14" customFormat="1" ht="69">
      <c r="A805" s="35" t="s">
        <v>1833</v>
      </c>
      <c r="B805" s="19" t="s">
        <v>1834</v>
      </c>
      <c r="C805" s="20" t="s">
        <v>1835</v>
      </c>
      <c r="D805" s="36" t="s">
        <v>28</v>
      </c>
      <c r="E805" s="37" t="s">
        <v>3285</v>
      </c>
      <c r="F805" s="43">
        <v>526.19999999999993</v>
      </c>
      <c r="G805" s="100">
        <f t="shared" si="12"/>
        <v>526.20000000000005</v>
      </c>
      <c r="H805" s="101"/>
      <c r="I805" s="100">
        <f>G805*H805</f>
        <v>0</v>
      </c>
      <c r="J805" s="39" t="s">
        <v>3336</v>
      </c>
      <c r="K805" s="40" t="s">
        <v>69</v>
      </c>
      <c r="L805" s="41" t="s">
        <v>3876</v>
      </c>
      <c r="M805" s="42" t="str">
        <f>HYPERLINK("https://catalog.onliner.by/xmaslights/neonnight/nn235201", "https://catalog.onliner.by/xmaslights/neonnight/nn235201")</f>
        <v>https://catalog.onliner.by/xmaslights/neonnight/nn235201</v>
      </c>
      <c r="N805" s="42" t="str">
        <f>HYPERLINK("https://pronto.by/catalog/product/235-201.html", "https://pronto.by/catalog/product/235-201.html")</f>
        <v>https://pronto.by/catalog/product/235-201.html</v>
      </c>
    </row>
    <row r="806" spans="1:14" customFormat="1" ht="69">
      <c r="A806" s="35" t="s">
        <v>1836</v>
      </c>
      <c r="B806" s="19" t="s">
        <v>1837</v>
      </c>
      <c r="C806" s="20" t="s">
        <v>1838</v>
      </c>
      <c r="D806" s="36" t="s">
        <v>28</v>
      </c>
      <c r="E806" s="37" t="s">
        <v>3292</v>
      </c>
      <c r="F806" s="43">
        <v>499.68</v>
      </c>
      <c r="G806" s="100">
        <f t="shared" si="12"/>
        <v>499.68</v>
      </c>
      <c r="H806" s="101"/>
      <c r="I806" s="100">
        <f>G806*H806</f>
        <v>0</v>
      </c>
      <c r="J806" s="39" t="s">
        <v>3336</v>
      </c>
      <c r="K806" s="40" t="s">
        <v>69</v>
      </c>
      <c r="L806" s="41"/>
      <c r="M806" s="42" t="str">
        <f>HYPERLINK("https://catalog.onliner.by/xmaslights/neonnight/nn235136", "https://catalog.onliner.by/xmaslights/neonnight/nn235136")</f>
        <v>https://catalog.onliner.by/xmaslights/neonnight/nn235136</v>
      </c>
      <c r="N806" s="42" t="str">
        <f>HYPERLINK("https://pronto.by/catalog/product/235-136.html", "https://pronto.by/catalog/product/235-136.html")</f>
        <v>https://pronto.by/catalog/product/235-136.html</v>
      </c>
    </row>
    <row r="807" spans="1:14" customFormat="1" ht="69">
      <c r="A807" s="35" t="s">
        <v>3877</v>
      </c>
      <c r="B807" s="19" t="s">
        <v>3878</v>
      </c>
      <c r="C807" s="20" t="s">
        <v>3879</v>
      </c>
      <c r="D807" s="36" t="s">
        <v>28</v>
      </c>
      <c r="E807" s="37" t="s">
        <v>3290</v>
      </c>
      <c r="F807" s="43">
        <v>499.68</v>
      </c>
      <c r="G807" s="100">
        <f t="shared" si="12"/>
        <v>499.68</v>
      </c>
      <c r="H807" s="101"/>
      <c r="I807" s="100">
        <f>G807*H807</f>
        <v>0</v>
      </c>
      <c r="J807" s="39" t="s">
        <v>3336</v>
      </c>
      <c r="K807" s="40" t="s">
        <v>41</v>
      </c>
      <c r="L807" s="41"/>
      <c r="M807" s="42" t="str">
        <f>HYPERLINK("https://catalog.onliner.by/xmaslights/neonnight/nn235156", "https://catalog.onliner.by/xmaslights/neonnight/nn235156")</f>
        <v>https://catalog.onliner.by/xmaslights/neonnight/nn235156</v>
      </c>
      <c r="N807" s="42" t="str">
        <f>HYPERLINK("https://pronto.by/catalog/product/235-156.html", "https://pronto.by/catalog/product/235-156.html")</f>
        <v>https://pronto.by/catalog/product/235-156.html</v>
      </c>
    </row>
    <row r="808" spans="1:14" customFormat="1" ht="69">
      <c r="A808" s="35" t="s">
        <v>1839</v>
      </c>
      <c r="B808" s="19" t="s">
        <v>1840</v>
      </c>
      <c r="C808" s="20" t="s">
        <v>1841</v>
      </c>
      <c r="D808" s="36" t="s">
        <v>28</v>
      </c>
      <c r="E808" s="37" t="s">
        <v>3292</v>
      </c>
      <c r="F808" s="43">
        <v>526.19999999999993</v>
      </c>
      <c r="G808" s="100">
        <f t="shared" si="12"/>
        <v>526.20000000000005</v>
      </c>
      <c r="H808" s="101"/>
      <c r="I808" s="100">
        <f>G808*H808</f>
        <v>0</v>
      </c>
      <c r="J808" s="39" t="s">
        <v>3336</v>
      </c>
      <c r="K808" s="40" t="s">
        <v>69</v>
      </c>
      <c r="L808" s="41"/>
      <c r="M808" s="42" t="str">
        <f>HYPERLINK("https://catalog.onliner.by/xmaslights/neonnight/nn235326", "https://catalog.onliner.by/xmaslights/neonnight/nn235326")</f>
        <v>https://catalog.onliner.by/xmaslights/neonnight/nn235326</v>
      </c>
      <c r="N808" s="42" t="str">
        <f>HYPERLINK("https://pronto.by/catalog/product/235-326.html", "https://pronto.by/catalog/product/235-326.html")</f>
        <v>https://pronto.by/catalog/product/235-326.html</v>
      </c>
    </row>
    <row r="809" spans="1:14" customFormat="1" ht="69">
      <c r="A809" s="35" t="s">
        <v>3880</v>
      </c>
      <c r="B809" s="19" t="s">
        <v>3881</v>
      </c>
      <c r="C809" s="20" t="s">
        <v>3882</v>
      </c>
      <c r="D809" s="36" t="s">
        <v>28</v>
      </c>
      <c r="E809" s="37" t="s">
        <v>3290</v>
      </c>
      <c r="F809" s="43">
        <v>499.68</v>
      </c>
      <c r="G809" s="100">
        <f t="shared" si="12"/>
        <v>499.68</v>
      </c>
      <c r="H809" s="101"/>
      <c r="I809" s="100">
        <f>G809*H809</f>
        <v>0</v>
      </c>
      <c r="J809" s="39" t="s">
        <v>3336</v>
      </c>
      <c r="K809" s="40" t="s">
        <v>41</v>
      </c>
      <c r="L809" s="41"/>
      <c r="M809" s="42" t="str">
        <f>HYPERLINK("https://catalog.onliner.by/xmaslights/neonnight/nn235146", "https://catalog.onliner.by/xmaslights/neonnight/nn235146")</f>
        <v>https://catalog.onliner.by/xmaslights/neonnight/nn235146</v>
      </c>
      <c r="N809" s="42" t="str">
        <f>HYPERLINK("https://pronto.by/catalog/product/235-146.html", "https://pronto.by/catalog/product/235-146.html")</f>
        <v>https://pronto.by/catalog/product/235-146.html</v>
      </c>
    </row>
    <row r="810" spans="1:14" customFormat="1" ht="69">
      <c r="A810" s="35" t="s">
        <v>3883</v>
      </c>
      <c r="B810" s="19" t="s">
        <v>3884</v>
      </c>
      <c r="C810" s="20" t="s">
        <v>3885</v>
      </c>
      <c r="D810" s="36" t="s">
        <v>28</v>
      </c>
      <c r="E810" s="37" t="s">
        <v>3292</v>
      </c>
      <c r="F810" s="43">
        <v>526.19999999999993</v>
      </c>
      <c r="G810" s="100">
        <f t="shared" si="12"/>
        <v>526.20000000000005</v>
      </c>
      <c r="H810" s="101"/>
      <c r="I810" s="100">
        <f>G810*H810</f>
        <v>0</v>
      </c>
      <c r="J810" s="39" t="s">
        <v>3336</v>
      </c>
      <c r="K810" s="40" t="s">
        <v>69</v>
      </c>
      <c r="L810" s="41"/>
      <c r="M810" s="42" t="str">
        <f>HYPERLINK("https://catalog.onliner.by/xmaslights/neonnight/nn235213", "https://catalog.onliner.by/xmaslights/neonnight/nn235213")</f>
        <v>https://catalog.onliner.by/xmaslights/neonnight/nn235213</v>
      </c>
      <c r="N810" s="42" t="str">
        <f>HYPERLINK("https://pronto.by/catalog/product/235-213.html", "https://pronto.by/catalog/product/235-213.html")</f>
        <v>https://pronto.by/catalog/product/235-213.html</v>
      </c>
    </row>
    <row r="811" spans="1:14" customFormat="1" ht="82.8">
      <c r="A811" s="35" t="s">
        <v>1842</v>
      </c>
      <c r="B811" s="19" t="s">
        <v>1843</v>
      </c>
      <c r="C811" s="20" t="s">
        <v>1844</v>
      </c>
      <c r="D811" s="36" t="s">
        <v>28</v>
      </c>
      <c r="E811" s="37" t="s">
        <v>3292</v>
      </c>
      <c r="F811" s="43">
        <v>446.64000000000004</v>
      </c>
      <c r="G811" s="100">
        <f t="shared" si="12"/>
        <v>446.64</v>
      </c>
      <c r="H811" s="101"/>
      <c r="I811" s="100">
        <f>G811*H811</f>
        <v>0</v>
      </c>
      <c r="J811" s="39" t="s">
        <v>3336</v>
      </c>
      <c r="K811" s="40" t="s">
        <v>69</v>
      </c>
      <c r="L811" s="41"/>
      <c r="M811" s="42" t="str">
        <f>HYPERLINK("https://catalog.onliner.by/xmaslights/neonnight/nn2351516", "https://catalog.onliner.by/xmaslights/neonnight/nn2351516")</f>
        <v>https://catalog.onliner.by/xmaslights/neonnight/nn2351516</v>
      </c>
      <c r="N811" s="42" t="str">
        <f>HYPERLINK("https://pronto.by/catalog/product/235-151-6.html", "https://pronto.by/catalog/product/235-151-6.html")</f>
        <v>https://pronto.by/catalog/product/235-151-6.html</v>
      </c>
    </row>
    <row r="812" spans="1:14" customFormat="1" ht="82.8">
      <c r="A812" s="35" t="s">
        <v>1845</v>
      </c>
      <c r="B812" s="19" t="s">
        <v>1846</v>
      </c>
      <c r="C812" s="20" t="s">
        <v>1847</v>
      </c>
      <c r="D812" s="36" t="s">
        <v>28</v>
      </c>
      <c r="E812" s="37" t="s">
        <v>3283</v>
      </c>
      <c r="F812" s="43">
        <v>446.64000000000004</v>
      </c>
      <c r="G812" s="100">
        <f t="shared" si="12"/>
        <v>446.64</v>
      </c>
      <c r="H812" s="101"/>
      <c r="I812" s="100">
        <f>G812*H812</f>
        <v>0</v>
      </c>
      <c r="J812" s="39" t="s">
        <v>3336</v>
      </c>
      <c r="K812" s="40" t="s">
        <v>69</v>
      </c>
      <c r="L812" s="41"/>
      <c r="M812" s="42" t="str">
        <f>HYPERLINK("https://catalog.onliner.by/xmaslights/neonnight/nn2351596", "https://catalog.onliner.by/xmaslights/neonnight/nn2351596")</f>
        <v>https://catalog.onliner.by/xmaslights/neonnight/nn2351596</v>
      </c>
      <c r="N812" s="42" t="str">
        <f>HYPERLINK("https://pronto.by/catalog/product/235-159-6.html", "https://pronto.by/catalog/product/235-159-6.html")</f>
        <v>https://pronto.by/catalog/product/235-159-6.html</v>
      </c>
    </row>
    <row r="813" spans="1:14" customFormat="1" ht="82.8">
      <c r="A813" s="35" t="s">
        <v>1848</v>
      </c>
      <c r="B813" s="19" t="s">
        <v>1849</v>
      </c>
      <c r="C813" s="20" t="s">
        <v>1850</v>
      </c>
      <c r="D813" s="36" t="s">
        <v>28</v>
      </c>
      <c r="E813" s="37" t="s">
        <v>3283</v>
      </c>
      <c r="F813" s="43">
        <v>446.64000000000004</v>
      </c>
      <c r="G813" s="100">
        <f t="shared" si="12"/>
        <v>446.64</v>
      </c>
      <c r="H813" s="101"/>
      <c r="I813" s="100">
        <f>G813*H813</f>
        <v>0</v>
      </c>
      <c r="J813" s="39" t="s">
        <v>3336</v>
      </c>
      <c r="K813" s="40" t="s">
        <v>69</v>
      </c>
      <c r="L813" s="41"/>
      <c r="M813" s="42" t="str">
        <f>HYPERLINK("https://catalog.onliner.by/xmaslights/neonnight/nn2351536", "https://catalog.onliner.by/xmaslights/neonnight/nn2351536")</f>
        <v>https://catalog.onliner.by/xmaslights/neonnight/nn2351536</v>
      </c>
      <c r="N813" s="42" t="str">
        <f>HYPERLINK("https://pronto.by/catalog/product/235-153-6.html", "https://pronto.by/catalog/product/235-153-6.html")</f>
        <v>https://pronto.by/catalog/product/235-153-6.html</v>
      </c>
    </row>
    <row r="814" spans="1:14" customFormat="1" ht="82.8">
      <c r="A814" s="35" t="s">
        <v>1851</v>
      </c>
      <c r="B814" s="19" t="s">
        <v>1852</v>
      </c>
      <c r="C814" s="20" t="s">
        <v>1853</v>
      </c>
      <c r="D814" s="36" t="s">
        <v>28</v>
      </c>
      <c r="E814" s="37" t="s">
        <v>3295</v>
      </c>
      <c r="F814" s="43">
        <v>391.14000000000004</v>
      </c>
      <c r="G814" s="100">
        <f t="shared" si="12"/>
        <v>391.14</v>
      </c>
      <c r="H814" s="101"/>
      <c r="I814" s="100">
        <f>G814*H814</f>
        <v>0</v>
      </c>
      <c r="J814" s="39" t="s">
        <v>3336</v>
      </c>
      <c r="K814" s="40" t="s">
        <v>41</v>
      </c>
      <c r="L814" s="41" t="s">
        <v>3886</v>
      </c>
      <c r="M814" s="42" t="str">
        <f>HYPERLINK("https://catalog.onliner.by/xmaslights/neonnight/nn235435", "https://catalog.onliner.by/xmaslights/neonnight/nn235435")</f>
        <v>https://catalog.onliner.by/xmaslights/neonnight/nn235435</v>
      </c>
      <c r="N814" s="42" t="str">
        <f>HYPERLINK("https://pronto.by/catalog/product/235-435.html", "https://pronto.by/catalog/product/235-435.html")</f>
        <v>https://pronto.by/catalog/product/235-435.html</v>
      </c>
    </row>
    <row r="815" spans="1:14" customFormat="1" ht="69">
      <c r="A815" s="35" t="s">
        <v>1854</v>
      </c>
      <c r="B815" s="19" t="s">
        <v>1855</v>
      </c>
      <c r="C815" s="20" t="s">
        <v>1856</v>
      </c>
      <c r="D815" s="36" t="s">
        <v>28</v>
      </c>
      <c r="E815" s="37" t="s">
        <v>3292</v>
      </c>
      <c r="F815" s="43">
        <v>499.68</v>
      </c>
      <c r="G815" s="100">
        <f t="shared" si="12"/>
        <v>499.68</v>
      </c>
      <c r="H815" s="101"/>
      <c r="I815" s="100">
        <f>G815*H815</f>
        <v>0</v>
      </c>
      <c r="J815" s="39" t="s">
        <v>3336</v>
      </c>
      <c r="K815" s="40" t="s">
        <v>41</v>
      </c>
      <c r="L815" s="41"/>
      <c r="M815" s="42" t="str">
        <f>HYPERLINK("https://catalog.onliner.by/xmaslights/neonnight/nn235145", "https://catalog.onliner.by/xmaslights/neonnight/nn235145")</f>
        <v>https://catalog.onliner.by/xmaslights/neonnight/nn235145</v>
      </c>
      <c r="N815" s="42" t="str">
        <f>HYPERLINK("https://pronto.by/catalog/product/235-145.html", "https://pronto.by/catalog/product/235-145.html")</f>
        <v>https://pronto.by/catalog/product/235-145.html</v>
      </c>
    </row>
    <row r="816" spans="1:14" customFormat="1" ht="69">
      <c r="A816" s="35" t="s">
        <v>1857</v>
      </c>
      <c r="B816" s="19" t="s">
        <v>1858</v>
      </c>
      <c r="C816" s="20" t="s">
        <v>1859</v>
      </c>
      <c r="D816" s="36" t="s">
        <v>28</v>
      </c>
      <c r="E816" s="37" t="s">
        <v>3285</v>
      </c>
      <c r="F816" s="43">
        <v>465.65999999999997</v>
      </c>
      <c r="G816" s="100">
        <f t="shared" si="12"/>
        <v>465.66</v>
      </c>
      <c r="H816" s="101"/>
      <c r="I816" s="100">
        <f>G816*H816</f>
        <v>0</v>
      </c>
      <c r="J816" s="39" t="s">
        <v>3336</v>
      </c>
      <c r="K816" s="40" t="s">
        <v>41</v>
      </c>
      <c r="L816" s="41"/>
      <c r="M816" s="42" t="str">
        <f>HYPERLINK("https://catalog.onliner.by/xmaslights/neonnight/nn235144", "https://catalog.onliner.by/xmaslights/neonnight/nn235144")</f>
        <v>https://catalog.onliner.by/xmaslights/neonnight/nn235144</v>
      </c>
      <c r="N816" s="42" t="str">
        <f>HYPERLINK("https://pronto.by/catalog/product/235-144.html", "https://pronto.by/catalog/product/235-144.html")</f>
        <v>https://pronto.by/catalog/product/235-144.html</v>
      </c>
    </row>
    <row r="817" spans="1:14" customFormat="1" ht="69">
      <c r="A817" s="35" t="s">
        <v>1860</v>
      </c>
      <c r="B817" s="19" t="s">
        <v>1861</v>
      </c>
      <c r="C817" s="20" t="s">
        <v>1862</v>
      </c>
      <c r="D817" s="36" t="s">
        <v>28</v>
      </c>
      <c r="E817" s="37" t="s">
        <v>3285</v>
      </c>
      <c r="F817" s="43">
        <v>499.68</v>
      </c>
      <c r="G817" s="100">
        <f t="shared" si="12"/>
        <v>499.68</v>
      </c>
      <c r="H817" s="101"/>
      <c r="I817" s="100">
        <f>G817*H817</f>
        <v>0</v>
      </c>
      <c r="J817" s="39" t="s">
        <v>3336</v>
      </c>
      <c r="K817" s="40" t="s">
        <v>69</v>
      </c>
      <c r="L817" s="41"/>
      <c r="M817" s="42" t="str">
        <f>HYPERLINK("https://catalog.onliner.by/xmaslights/neonnight/nn235143", "https://catalog.onliner.by/xmaslights/neonnight/nn235143")</f>
        <v>https://catalog.onliner.by/xmaslights/neonnight/nn235143</v>
      </c>
      <c r="N817" s="42" t="str">
        <f>HYPERLINK("https://pronto.by/catalog/product/235-143.html", "https://pronto.by/catalog/product/235-143.html")</f>
        <v>https://pronto.by/catalog/product/235-143.html</v>
      </c>
    </row>
    <row r="818" spans="1:14" customFormat="1" ht="81.599999999999994">
      <c r="A818" s="35" t="s">
        <v>1863</v>
      </c>
      <c r="B818" s="19" t="s">
        <v>1864</v>
      </c>
      <c r="C818" s="20" t="s">
        <v>1865</v>
      </c>
      <c r="D818" s="36" t="s">
        <v>28</v>
      </c>
      <c r="E818" s="37" t="s">
        <v>3290</v>
      </c>
      <c r="F818" s="43">
        <v>473.15999999999997</v>
      </c>
      <c r="G818" s="100">
        <f t="shared" si="12"/>
        <v>473.16</v>
      </c>
      <c r="H818" s="101"/>
      <c r="I818" s="100">
        <f>G818*H818</f>
        <v>0</v>
      </c>
      <c r="J818" s="39" t="s">
        <v>3336</v>
      </c>
      <c r="K818" s="40" t="s">
        <v>69</v>
      </c>
      <c r="L818" s="41"/>
      <c r="M818" s="42" t="str">
        <f>HYPERLINK("https://catalog.onliner.by/xmaslights/neonnight/nn2351356", "https://catalog.onliner.by/xmaslights/neonnight/nn2351356")</f>
        <v>https://catalog.onliner.by/xmaslights/neonnight/nn2351356</v>
      </c>
      <c r="N818" s="42" t="str">
        <f>HYPERLINK("https://pronto.by/catalog/prazdnichnaya-svetotehnika/professional-professionalnye-proekty/girlyanda-zanaves-dozhd/zanaves-pvh/zanaves-pvh-2h3-m/235-135-6.html", "https://pronto.by/catalog/prazdnichnaya-svetotehnika/professional-professionalnye-proekty/girlyanda-zanaves-dozhd/zanaves-pvh/zanaves-pvh-2h3-m/235-135-6.html")</f>
        <v>https://pronto.by/catalog/prazdnichnaya-svetotehnika/professional-professionalnye-proekty/girlyanda-zanaves-dozhd/zanaves-pvh/zanaves-pvh-2h3-m/235-135-6.html</v>
      </c>
    </row>
    <row r="819" spans="1:14" customFormat="1" ht="15.6">
      <c r="A819" s="81" t="s">
        <v>3887</v>
      </c>
      <c r="B819" s="67"/>
      <c r="C819" s="67"/>
      <c r="D819" s="32"/>
      <c r="E819" s="32"/>
      <c r="F819" s="32"/>
      <c r="G819" s="52"/>
      <c r="H819" s="52"/>
      <c r="I819" s="52"/>
      <c r="J819" s="32"/>
      <c r="K819" s="32"/>
      <c r="L819" s="33"/>
      <c r="M819" s="33"/>
      <c r="N819" s="34"/>
    </row>
    <row r="820" spans="1:14" customFormat="1" ht="69">
      <c r="A820" s="35" t="s">
        <v>1866</v>
      </c>
      <c r="B820" s="19" t="s">
        <v>1867</v>
      </c>
      <c r="C820" s="20" t="s">
        <v>1868</v>
      </c>
      <c r="D820" s="36" t="s">
        <v>28</v>
      </c>
      <c r="E820" s="37" t="s">
        <v>3292</v>
      </c>
      <c r="F820" s="43">
        <v>784.08</v>
      </c>
      <c r="G820" s="100">
        <f t="shared" si="12"/>
        <v>784.08</v>
      </c>
      <c r="H820" s="101"/>
      <c r="I820" s="100">
        <f>G820*H820</f>
        <v>0</v>
      </c>
      <c r="J820" s="39" t="s">
        <v>3336</v>
      </c>
      <c r="K820" s="40" t="s">
        <v>69</v>
      </c>
      <c r="L820" s="41"/>
      <c r="M820" s="42" t="str">
        <f>HYPERLINK("https://catalog.onliner.by/xmaslights/neonnight/neon235296", "https://catalog.onliner.by/xmaslights/neonnight/neon235296")</f>
        <v>https://catalog.onliner.by/xmaslights/neonnight/neon235296</v>
      </c>
      <c r="N820" s="42" t="str">
        <f>HYPERLINK("https://pronto.by/catalog/product/235-296.html", "https://pronto.by/catalog/product/235-296.html")</f>
        <v>https://pronto.by/catalog/product/235-296.html</v>
      </c>
    </row>
    <row r="821" spans="1:14" customFormat="1" ht="69">
      <c r="A821" s="35" t="s">
        <v>1869</v>
      </c>
      <c r="B821" s="19" t="s">
        <v>1870</v>
      </c>
      <c r="C821" s="20" t="s">
        <v>1871</v>
      </c>
      <c r="D821" s="36" t="s">
        <v>28</v>
      </c>
      <c r="E821" s="37" t="s">
        <v>3292</v>
      </c>
      <c r="F821" s="43">
        <v>875.04000000000008</v>
      </c>
      <c r="G821" s="100">
        <f t="shared" si="12"/>
        <v>875.04</v>
      </c>
      <c r="H821" s="101"/>
      <c r="I821" s="100">
        <f>G821*H821</f>
        <v>0</v>
      </c>
      <c r="J821" s="39" t="s">
        <v>3336</v>
      </c>
      <c r="K821" s="40" t="s">
        <v>69</v>
      </c>
      <c r="L821" s="41"/>
      <c r="M821" s="42" t="str">
        <f>HYPERLINK("https://catalog.onliner.by/xmaslights/neonnight/neon235396", "https://catalog.onliner.by/xmaslights/neonnight/neon235396")</f>
        <v>https://catalog.onliner.by/xmaslights/neonnight/neon235396</v>
      </c>
      <c r="N821" s="42" t="str">
        <f>HYPERLINK("https://pronto.by/catalog/product/235-396.html", "https://pronto.by/catalog/product/235-396.html")</f>
        <v>https://pronto.by/catalog/product/235-396.html</v>
      </c>
    </row>
    <row r="822" spans="1:14" customFormat="1" ht="55.2">
      <c r="A822" s="53" t="s">
        <v>3888</v>
      </c>
      <c r="B822" s="60" t="s">
        <v>3889</v>
      </c>
      <c r="C822" s="61" t="s">
        <v>3890</v>
      </c>
      <c r="D822" s="36" t="s">
        <v>28</v>
      </c>
      <c r="E822" s="37" t="s">
        <v>3307</v>
      </c>
      <c r="F822" s="43">
        <v>875.04000000000008</v>
      </c>
      <c r="G822" s="100">
        <f t="shared" si="12"/>
        <v>875.04</v>
      </c>
      <c r="H822" s="101"/>
      <c r="I822" s="100">
        <f>G822*H822</f>
        <v>0</v>
      </c>
      <c r="J822" s="39" t="s">
        <v>3336</v>
      </c>
      <c r="K822" s="40"/>
      <c r="L822" s="41"/>
      <c r="M822" s="44"/>
      <c r="N822" s="44"/>
    </row>
    <row r="823" spans="1:14" customFormat="1" ht="69">
      <c r="A823" s="35" t="s">
        <v>1872</v>
      </c>
      <c r="B823" s="19" t="s">
        <v>1873</v>
      </c>
      <c r="C823" s="20" t="s">
        <v>1874</v>
      </c>
      <c r="D823" s="36" t="s">
        <v>28</v>
      </c>
      <c r="E823" s="37" t="s">
        <v>3292</v>
      </c>
      <c r="F823" s="43">
        <v>875.04000000000008</v>
      </c>
      <c r="G823" s="100">
        <f t="shared" si="12"/>
        <v>875.04</v>
      </c>
      <c r="H823" s="101"/>
      <c r="I823" s="100">
        <f>G823*H823</f>
        <v>0</v>
      </c>
      <c r="J823" s="39" t="s">
        <v>3336</v>
      </c>
      <c r="K823" s="40" t="s">
        <v>69</v>
      </c>
      <c r="L823" s="41"/>
      <c r="M823" s="42" t="str">
        <f>HYPERLINK("https://catalog.onliner.by/xmaslights/neonnight/neon235386", "https://catalog.onliner.by/xmaslights/neonnight/neon235386")</f>
        <v>https://catalog.onliner.by/xmaslights/neonnight/neon235386</v>
      </c>
      <c r="N823" s="42" t="str">
        <f>HYPERLINK("https://pronto.by/catalog/product/235-386.html", "https://pronto.by/catalog/product/235-386.html")</f>
        <v>https://pronto.by/catalog/product/235-386.html</v>
      </c>
    </row>
    <row r="824" spans="1:14" customFormat="1" ht="69">
      <c r="A824" s="35" t="s">
        <v>1875</v>
      </c>
      <c r="B824" s="19" t="s">
        <v>1876</v>
      </c>
      <c r="C824" s="20" t="s">
        <v>1877</v>
      </c>
      <c r="D824" s="36" t="s">
        <v>28</v>
      </c>
      <c r="E824" s="37" t="s">
        <v>3292</v>
      </c>
      <c r="F824" s="43">
        <v>784.08</v>
      </c>
      <c r="G824" s="100">
        <f t="shared" si="12"/>
        <v>784.08</v>
      </c>
      <c r="H824" s="101"/>
      <c r="I824" s="100">
        <f>G824*H824</f>
        <v>0</v>
      </c>
      <c r="J824" s="39" t="s">
        <v>3336</v>
      </c>
      <c r="K824" s="40" t="s">
        <v>69</v>
      </c>
      <c r="L824" s="41"/>
      <c r="M824" s="42" t="str">
        <f>HYPERLINK("https://catalog.onliner.by/xmaslights/neonnight/neon235376", "https://catalog.onliner.by/xmaslights/neonnight/neon235376")</f>
        <v>https://catalog.onliner.by/xmaslights/neonnight/neon235376</v>
      </c>
      <c r="N824" s="42" t="str">
        <f>HYPERLINK("https://pronto.by/catalog/product/235-376.html", "https://pronto.by/catalog/product/235-376.html")</f>
        <v>https://pronto.by/catalog/product/235-376.html</v>
      </c>
    </row>
    <row r="825" spans="1:14" customFormat="1" ht="82.8">
      <c r="A825" s="35" t="s">
        <v>1878</v>
      </c>
      <c r="B825" s="19" t="s">
        <v>1879</v>
      </c>
      <c r="C825" s="20" t="s">
        <v>1880</v>
      </c>
      <c r="D825" s="36" t="s">
        <v>28</v>
      </c>
      <c r="E825" s="37" t="s">
        <v>3285</v>
      </c>
      <c r="F825" s="43">
        <v>784.08</v>
      </c>
      <c r="G825" s="100">
        <f t="shared" si="12"/>
        <v>784.08</v>
      </c>
      <c r="H825" s="101"/>
      <c r="I825" s="100">
        <f>G825*H825</f>
        <v>0</v>
      </c>
      <c r="J825" s="39" t="s">
        <v>3336</v>
      </c>
      <c r="K825" s="40" t="s">
        <v>69</v>
      </c>
      <c r="L825" s="41"/>
      <c r="M825" s="42" t="str">
        <f>HYPERLINK("https://catalog.onliner.by/xmaslights/neonnight/nn235175", "https://catalog.onliner.by/xmaslights/neonnight/nn235175")</f>
        <v>https://catalog.onliner.by/xmaslights/neonnight/nn235175</v>
      </c>
      <c r="N825" s="42" t="str">
        <f>HYPERLINK("https://pronto.by/catalog/product/235-175.html", "https://pronto.by/catalog/product/235-175.html")</f>
        <v>https://pronto.by/catalog/product/235-175.html</v>
      </c>
    </row>
    <row r="826" spans="1:14" customFormat="1" ht="69">
      <c r="A826" s="35" t="s">
        <v>1881</v>
      </c>
      <c r="B826" s="19" t="s">
        <v>1882</v>
      </c>
      <c r="C826" s="20" t="s">
        <v>1883</v>
      </c>
      <c r="D826" s="36" t="s">
        <v>28</v>
      </c>
      <c r="E826" s="37" t="s">
        <v>3290</v>
      </c>
      <c r="F826" s="43">
        <v>784.08</v>
      </c>
      <c r="G826" s="100">
        <f t="shared" si="12"/>
        <v>784.08</v>
      </c>
      <c r="H826" s="101"/>
      <c r="I826" s="100">
        <f>G826*H826</f>
        <v>0</v>
      </c>
      <c r="J826" s="39" t="s">
        <v>3336</v>
      </c>
      <c r="K826" s="40" t="s">
        <v>69</v>
      </c>
      <c r="L826" s="41"/>
      <c r="M826" s="42" t="str">
        <f>HYPERLINK("https://catalog.onliner.by/xmaslights/neonnight/nn235165", "https://catalog.onliner.by/xmaslights/neonnight/nn235165")</f>
        <v>https://catalog.onliner.by/xmaslights/neonnight/nn235165</v>
      </c>
      <c r="N826" s="42" t="str">
        <f>HYPERLINK("https://pronto.by/catalog/product/235-165.html", "https://pronto.by/catalog/product/235-165.html")</f>
        <v>https://pronto.by/catalog/product/235-165.html</v>
      </c>
    </row>
    <row r="827" spans="1:14" customFormat="1" ht="82.8">
      <c r="A827" s="35" t="s">
        <v>1884</v>
      </c>
      <c r="B827" s="19" t="s">
        <v>1885</v>
      </c>
      <c r="C827" s="20" t="s">
        <v>1886</v>
      </c>
      <c r="D827" s="36" t="s">
        <v>28</v>
      </c>
      <c r="E827" s="37" t="s">
        <v>3290</v>
      </c>
      <c r="F827" s="43">
        <v>784.08</v>
      </c>
      <c r="G827" s="100">
        <f t="shared" si="12"/>
        <v>784.08</v>
      </c>
      <c r="H827" s="101"/>
      <c r="I827" s="100">
        <f>G827*H827</f>
        <v>0</v>
      </c>
      <c r="J827" s="39" t="s">
        <v>3336</v>
      </c>
      <c r="K827" s="40" t="s">
        <v>69</v>
      </c>
      <c r="L827" s="41"/>
      <c r="M827" s="42" t="str">
        <f>HYPERLINK("https://catalog.onliner.by/xmaslights/neonnight/nn235176", "https://catalog.onliner.by/xmaslights/neonnight/nn235176")</f>
        <v>https://catalog.onliner.by/xmaslights/neonnight/nn235176</v>
      </c>
      <c r="N827" s="42" t="str">
        <f>HYPERLINK("https://pronto.by/catalog/product/235-176.html", "https://pronto.by/catalog/product/235-176.html")</f>
        <v>https://pronto.by/catalog/product/235-176.html</v>
      </c>
    </row>
    <row r="828" spans="1:14" customFormat="1" ht="82.8">
      <c r="A828" s="35" t="s">
        <v>1887</v>
      </c>
      <c r="B828" s="19" t="s">
        <v>1888</v>
      </c>
      <c r="C828" s="20" t="s">
        <v>1889</v>
      </c>
      <c r="D828" s="36" t="s">
        <v>28</v>
      </c>
      <c r="E828" s="37" t="s">
        <v>3290</v>
      </c>
      <c r="F828" s="43">
        <v>784.08</v>
      </c>
      <c r="G828" s="100">
        <f t="shared" si="12"/>
        <v>784.08</v>
      </c>
      <c r="H828" s="101"/>
      <c r="I828" s="100">
        <f>G828*H828</f>
        <v>0</v>
      </c>
      <c r="J828" s="39" t="s">
        <v>3336</v>
      </c>
      <c r="K828" s="40" t="s">
        <v>69</v>
      </c>
      <c r="L828" s="41"/>
      <c r="M828" s="42" t="str">
        <f>HYPERLINK("https://catalog.onliner.by/xmaslights/neonnight/nn235173", "https://catalog.onliner.by/xmaslights/neonnight/nn235173")</f>
        <v>https://catalog.onliner.by/xmaslights/neonnight/nn235173</v>
      </c>
      <c r="N828" s="42" t="str">
        <f>HYPERLINK("https://pronto.by/catalog/product/235-173.html", "https://pronto.by/catalog/product/235-173.html")</f>
        <v>https://pronto.by/catalog/product/235-173.html</v>
      </c>
    </row>
    <row r="829" spans="1:14" customFormat="1" ht="82.8">
      <c r="A829" s="35" t="s">
        <v>1890</v>
      </c>
      <c r="B829" s="19" t="s">
        <v>1891</v>
      </c>
      <c r="C829" s="20" t="s">
        <v>1892</v>
      </c>
      <c r="D829" s="36" t="s">
        <v>28</v>
      </c>
      <c r="E829" s="37" t="s">
        <v>3292</v>
      </c>
      <c r="F829" s="43">
        <v>642.24</v>
      </c>
      <c r="G829" s="100">
        <f t="shared" si="12"/>
        <v>642.24</v>
      </c>
      <c r="H829" s="101"/>
      <c r="I829" s="100">
        <f>G829*H829</f>
        <v>0</v>
      </c>
      <c r="J829" s="39" t="s">
        <v>3336</v>
      </c>
      <c r="K829" s="40" t="s">
        <v>69</v>
      </c>
      <c r="L829" s="41" t="s">
        <v>3891</v>
      </c>
      <c r="M829" s="42" t="str">
        <f>HYPERLINK("https://catalog.onliner.by/xmaslights/neonnight/nn235465", "https://catalog.onliner.by/xmaslights/neonnight/nn235465")</f>
        <v>https://catalog.onliner.by/xmaslights/neonnight/nn235465</v>
      </c>
      <c r="N829" s="42" t="str">
        <f>HYPERLINK("https://pronto.by/catalog/product/235-465.html", "https://pronto.by/catalog/product/235-465.html")</f>
        <v>https://pronto.by/catalog/product/235-465.html</v>
      </c>
    </row>
    <row r="830" spans="1:14" customFormat="1" ht="69">
      <c r="A830" s="35" t="s">
        <v>1893</v>
      </c>
      <c r="B830" s="19" t="s">
        <v>1894</v>
      </c>
      <c r="C830" s="20" t="s">
        <v>1895</v>
      </c>
      <c r="D830" s="36" t="s">
        <v>28</v>
      </c>
      <c r="E830" s="37" t="s">
        <v>3285</v>
      </c>
      <c r="F830" s="43">
        <v>2416.7399999999998</v>
      </c>
      <c r="G830" s="100">
        <f t="shared" si="12"/>
        <v>2416.7399999999998</v>
      </c>
      <c r="H830" s="101"/>
      <c r="I830" s="100">
        <f>G830*H830</f>
        <v>0</v>
      </c>
      <c r="J830" s="39" t="s">
        <v>3336</v>
      </c>
      <c r="K830" s="40" t="s">
        <v>41</v>
      </c>
      <c r="L830" s="41"/>
      <c r="M830" s="42" t="str">
        <f>HYPERLINK("https://catalog.onliner.by/xmaslights/neonnight/nn235265", "https://catalog.onliner.by/xmaslights/neonnight/nn235265")</f>
        <v>https://catalog.onliner.by/xmaslights/neonnight/nn235265</v>
      </c>
      <c r="N830" s="42" t="str">
        <f>HYPERLINK("https://pronto.by/catalog/product/235-265.html", "https://pronto.by/catalog/product/235-265.html")</f>
        <v>https://pronto.by/catalog/product/235-265.html</v>
      </c>
    </row>
    <row r="831" spans="1:14" customFormat="1" ht="69">
      <c r="A831" s="35" t="s">
        <v>1896</v>
      </c>
      <c r="B831" s="19" t="s">
        <v>1897</v>
      </c>
      <c r="C831" s="20" t="s">
        <v>1898</v>
      </c>
      <c r="D831" s="36" t="s">
        <v>28</v>
      </c>
      <c r="E831" s="37" t="s">
        <v>3290</v>
      </c>
      <c r="F831" s="43">
        <v>2448.7800000000002</v>
      </c>
      <c r="G831" s="100">
        <f t="shared" si="12"/>
        <v>2448.7800000000002</v>
      </c>
      <c r="H831" s="101"/>
      <c r="I831" s="100">
        <f>G831*H831</f>
        <v>0</v>
      </c>
      <c r="J831" s="39" t="s">
        <v>3336</v>
      </c>
      <c r="K831" s="40" t="s">
        <v>41</v>
      </c>
      <c r="L831" s="41"/>
      <c r="M831" s="42" t="str">
        <f>HYPERLINK("https://catalog.onliner.by/xmaslights/neonnight/nn235263", "https://catalog.onliner.by/xmaslights/neonnight/nn235263")</f>
        <v>https://catalog.onliner.by/xmaslights/neonnight/nn235263</v>
      </c>
      <c r="N831" s="42" t="str">
        <f>HYPERLINK("https://pronto.by/catalog/product/235-263.html", "https://pronto.by/catalog/product/235-263.html")</f>
        <v>https://pronto.by/catalog/product/235-263.html</v>
      </c>
    </row>
    <row r="832" spans="1:14" customFormat="1" ht="15.6">
      <c r="A832" s="81" t="s">
        <v>3892</v>
      </c>
      <c r="B832" s="67"/>
      <c r="C832" s="67"/>
      <c r="D832" s="32"/>
      <c r="E832" s="32"/>
      <c r="F832" s="32"/>
      <c r="G832" s="52"/>
      <c r="H832" s="52"/>
      <c r="I832" s="52"/>
      <c r="J832" s="32"/>
      <c r="K832" s="32"/>
      <c r="L832" s="33"/>
      <c r="M832" s="33"/>
      <c r="N832" s="34"/>
    </row>
    <row r="833" spans="1:14" customFormat="1" ht="69">
      <c r="A833" s="35" t="s">
        <v>1899</v>
      </c>
      <c r="B833" s="19" t="s">
        <v>1900</v>
      </c>
      <c r="C833" s="20" t="s">
        <v>1901</v>
      </c>
      <c r="D833" s="36" t="s">
        <v>28</v>
      </c>
      <c r="E833" s="37" t="s">
        <v>3285</v>
      </c>
      <c r="F833" s="43">
        <v>1232.4599999999998</v>
      </c>
      <c r="G833" s="100">
        <f t="shared" si="12"/>
        <v>1232.46</v>
      </c>
      <c r="H833" s="101"/>
      <c r="I833" s="100">
        <f>G833*H833</f>
        <v>0</v>
      </c>
      <c r="J833" s="39" t="s">
        <v>3336</v>
      </c>
      <c r="K833" s="40" t="s">
        <v>41</v>
      </c>
      <c r="L833" s="41"/>
      <c r="M833" s="42" t="str">
        <f>HYPERLINK("https://catalog.onliner.by/xmaslights/neonnight/nn235195", "https://catalog.onliner.by/xmaslights/neonnight/nn235195")</f>
        <v>https://catalog.onliner.by/xmaslights/neonnight/nn235195</v>
      </c>
      <c r="N833" s="42" t="str">
        <f>HYPERLINK("https://pronto.by/catalog/product/235-195.html", "https://pronto.by/catalog/product/235-195.html")</f>
        <v>https://pronto.by/catalog/product/235-195.html</v>
      </c>
    </row>
    <row r="834" spans="1:14" customFormat="1" ht="69">
      <c r="A834" s="35" t="s">
        <v>1902</v>
      </c>
      <c r="B834" s="19" t="s">
        <v>1903</v>
      </c>
      <c r="C834" s="20" t="s">
        <v>1904</v>
      </c>
      <c r="D834" s="36" t="s">
        <v>28</v>
      </c>
      <c r="E834" s="37" t="s">
        <v>3292</v>
      </c>
      <c r="F834" s="43">
        <v>1232.4599999999998</v>
      </c>
      <c r="G834" s="100">
        <f t="shared" si="12"/>
        <v>1232.46</v>
      </c>
      <c r="H834" s="101"/>
      <c r="I834" s="100">
        <f>G834*H834</f>
        <v>0</v>
      </c>
      <c r="J834" s="39" t="s">
        <v>3336</v>
      </c>
      <c r="K834" s="40" t="s">
        <v>69</v>
      </c>
      <c r="L834" s="41"/>
      <c r="M834" s="42" t="str">
        <f>HYPERLINK("https://catalog.onliner.by/xmaslights/neonnight/nn235196", "https://catalog.onliner.by/xmaslights/neonnight/nn235196")</f>
        <v>https://catalog.onliner.by/xmaslights/neonnight/nn235196</v>
      </c>
      <c r="N834" s="42" t="str">
        <f>HYPERLINK("https://pronto.by/catalog/product/235-196.html", "https://pronto.by/catalog/product/235-196.html")</f>
        <v>https://pronto.by/catalog/product/235-196.html</v>
      </c>
    </row>
    <row r="835" spans="1:14" customFormat="1" ht="55.2">
      <c r="A835" s="53" t="s">
        <v>3893</v>
      </c>
      <c r="B835" s="60" t="s">
        <v>3894</v>
      </c>
      <c r="C835" s="61" t="s">
        <v>3895</v>
      </c>
      <c r="D835" s="36" t="s">
        <v>28</v>
      </c>
      <c r="E835" s="37"/>
      <c r="F835" s="43">
        <v>1267.68</v>
      </c>
      <c r="G835" s="100">
        <f t="shared" si="12"/>
        <v>1267.68</v>
      </c>
      <c r="H835" s="101"/>
      <c r="I835" s="100">
        <f>G835*H835</f>
        <v>0</v>
      </c>
      <c r="J835" s="39" t="s">
        <v>3336</v>
      </c>
      <c r="K835" s="40"/>
      <c r="L835" s="41"/>
      <c r="M835" s="44"/>
      <c r="N835" s="44"/>
    </row>
    <row r="836" spans="1:14" customFormat="1" ht="96.6">
      <c r="A836" s="35" t="s">
        <v>1905</v>
      </c>
      <c r="B836" s="19" t="s">
        <v>1906</v>
      </c>
      <c r="C836" s="20" t="s">
        <v>3896</v>
      </c>
      <c r="D836" s="36" t="s">
        <v>28</v>
      </c>
      <c r="E836" s="37" t="s">
        <v>3308</v>
      </c>
      <c r="F836" s="43">
        <v>1267.68</v>
      </c>
      <c r="G836" s="100">
        <f t="shared" si="12"/>
        <v>1267.68</v>
      </c>
      <c r="H836" s="101"/>
      <c r="I836" s="100">
        <f>G836*H836</f>
        <v>0</v>
      </c>
      <c r="J836" s="39" t="s">
        <v>3336</v>
      </c>
      <c r="K836" s="40" t="s">
        <v>69</v>
      </c>
      <c r="L836" s="41"/>
      <c r="M836" s="42" t="s">
        <v>3897</v>
      </c>
      <c r="N836" s="42" t="str">
        <f>HYPERLINK("https://pronto.by/catalog/prazdnichnaya-svetotehnika/professional-professionalnye-proekty/girlyanda-zanaves-dozhd/zanaves-pvh/zanaves-pvh-2h9-m/235-696.html", "https://pronto.by/catalog/prazdnichnaya-svetotehnika/professional-professionalnye-proekty/girlyanda-zanaves-dozhd/zanaves-pvh/zanaves-pvh-2h9-m/235-696.html")</f>
        <v>https://pronto.by/catalog/prazdnichnaya-svetotehnika/professional-professionalnye-proekty/girlyanda-zanaves-dozhd/zanaves-pvh/zanaves-pvh-2h9-m/235-696.html</v>
      </c>
    </row>
    <row r="837" spans="1:14" customFormat="1" ht="82.8">
      <c r="A837" s="35" t="s">
        <v>1907</v>
      </c>
      <c r="B837" s="19" t="s">
        <v>1908</v>
      </c>
      <c r="C837" s="20" t="s">
        <v>1909</v>
      </c>
      <c r="D837" s="36" t="s">
        <v>28</v>
      </c>
      <c r="E837" s="37" t="s">
        <v>3295</v>
      </c>
      <c r="F837" s="43">
        <v>788.16000000000008</v>
      </c>
      <c r="G837" s="100">
        <f t="shared" si="12"/>
        <v>788.16</v>
      </c>
      <c r="H837" s="101"/>
      <c r="I837" s="100">
        <f>G837*H837</f>
        <v>0</v>
      </c>
      <c r="J837" s="39" t="s">
        <v>3336</v>
      </c>
      <c r="K837" s="40" t="s">
        <v>69</v>
      </c>
      <c r="L837" s="41"/>
      <c r="M837" s="42" t="str">
        <f>HYPERLINK("https://catalog.onliner.by/xmaslights/neonnight/nn235495", "https://catalog.onliner.by/xmaslights/neonnight/nn235495")</f>
        <v>https://catalog.onliner.by/xmaslights/neonnight/nn235495</v>
      </c>
      <c r="N837" s="42" t="str">
        <f>HYPERLINK("https://pronto.by/catalog/product/235-495.html", "https://pronto.by/catalog/product/235-495.html")</f>
        <v>https://pronto.by/catalog/product/235-495.html</v>
      </c>
    </row>
    <row r="838" spans="1:14" customFormat="1" ht="69">
      <c r="A838" s="35" t="s">
        <v>1910</v>
      </c>
      <c r="B838" s="19" t="s">
        <v>1911</v>
      </c>
      <c r="C838" s="20" t="s">
        <v>1912</v>
      </c>
      <c r="D838" s="36" t="s">
        <v>28</v>
      </c>
      <c r="E838" s="37" t="s">
        <v>3280</v>
      </c>
      <c r="F838" s="43">
        <v>3362.7</v>
      </c>
      <c r="G838" s="100">
        <f t="shared" si="12"/>
        <v>3362.7</v>
      </c>
      <c r="H838" s="101"/>
      <c r="I838" s="100">
        <f>G838*H838</f>
        <v>0</v>
      </c>
      <c r="J838" s="39" t="s">
        <v>3336</v>
      </c>
      <c r="K838" s="40" t="s">
        <v>41</v>
      </c>
      <c r="L838" s="41"/>
      <c r="M838" s="42" t="str">
        <f>HYPERLINK("https://catalog.onliner.by/xmaslights/neonnight/nn235275", "https://catalog.onliner.by/xmaslights/neonnight/nn235275")</f>
        <v>https://catalog.onliner.by/xmaslights/neonnight/nn235275</v>
      </c>
      <c r="N838" s="42" t="str">
        <f>HYPERLINK("https://pronto.by/catalog/product/235-275.html", "https://pronto.by/catalog/product/235-275.html")</f>
        <v>https://pronto.by/catalog/product/235-275.html</v>
      </c>
    </row>
    <row r="839" spans="1:14" customFormat="1" ht="69">
      <c r="A839" s="35" t="s">
        <v>1913</v>
      </c>
      <c r="B839" s="19" t="s">
        <v>1914</v>
      </c>
      <c r="C839" s="20" t="s">
        <v>1915</v>
      </c>
      <c r="D839" s="36" t="s">
        <v>28</v>
      </c>
      <c r="E839" s="37" t="s">
        <v>3280</v>
      </c>
      <c r="F839" s="43">
        <v>898.44</v>
      </c>
      <c r="G839" s="100">
        <f t="shared" si="12"/>
        <v>898.44</v>
      </c>
      <c r="H839" s="101"/>
      <c r="I839" s="100">
        <f>G839*H839</f>
        <v>0</v>
      </c>
      <c r="J839" s="39" t="s">
        <v>3336</v>
      </c>
      <c r="K839" s="40" t="s">
        <v>41</v>
      </c>
      <c r="L839" s="41"/>
      <c r="M839" s="42" t="str">
        <f>HYPERLINK("https://catalog.onliner.by/xmaslights/neonnight/neon235187", "https://catalog.onliner.by/xmaslights/neonnight/neon235187")</f>
        <v>https://catalog.onliner.by/xmaslights/neonnight/neon235187</v>
      </c>
      <c r="N839" s="42" t="str">
        <f>HYPERLINK("https://pronto.by/catalog/product/235-187.html", "https://pronto.by/catalog/product/235-187.html")</f>
        <v>https://pronto.by/catalog/product/235-187.html</v>
      </c>
    </row>
    <row r="840" spans="1:14" customFormat="1" ht="15.6">
      <c r="A840" s="81" t="s">
        <v>3898</v>
      </c>
      <c r="B840" s="67"/>
      <c r="C840" s="67"/>
      <c r="D840" s="32"/>
      <c r="E840" s="32"/>
      <c r="F840" s="32"/>
      <c r="G840" s="52"/>
      <c r="H840" s="52"/>
      <c r="I840" s="52"/>
      <c r="J840" s="32"/>
      <c r="K840" s="32"/>
      <c r="L840" s="33"/>
      <c r="M840" s="33"/>
      <c r="N840" s="34"/>
    </row>
    <row r="841" spans="1:14" customFormat="1" ht="69">
      <c r="A841" s="35" t="s">
        <v>1916</v>
      </c>
      <c r="B841" s="19" t="s">
        <v>1917</v>
      </c>
      <c r="C841" s="20" t="s">
        <v>1918</v>
      </c>
      <c r="D841" s="36" t="s">
        <v>28</v>
      </c>
      <c r="E841" s="37" t="s">
        <v>3304</v>
      </c>
      <c r="F841" s="43">
        <v>330.72</v>
      </c>
      <c r="G841" s="100">
        <f t="shared" si="12"/>
        <v>330.72</v>
      </c>
      <c r="H841" s="101"/>
      <c r="I841" s="100">
        <f>G841*H841</f>
        <v>0</v>
      </c>
      <c r="J841" s="39" t="s">
        <v>3664</v>
      </c>
      <c r="K841" s="40" t="s">
        <v>41</v>
      </c>
      <c r="L841" s="41"/>
      <c r="M841" s="42" t="str">
        <f>HYPERLINK("https://catalog.onliner.by/xmaslights/neonnight/237115237115", "https://catalog.onliner.by/xmaslights/neonnight/237115237115")</f>
        <v>https://catalog.onliner.by/xmaslights/neonnight/237115237115</v>
      </c>
      <c r="N841" s="42" t="str">
        <f>HYPERLINK("https://pronto.by/catalog/product/237-115.html", "https://pronto.by/catalog/product/237-115.html")</f>
        <v>https://pronto.by/catalog/product/237-115.html</v>
      </c>
    </row>
    <row r="842" spans="1:14" customFormat="1" ht="69">
      <c r="A842" s="35" t="s">
        <v>1919</v>
      </c>
      <c r="B842" s="19" t="s">
        <v>1920</v>
      </c>
      <c r="C842" s="20" t="s">
        <v>1921</v>
      </c>
      <c r="D842" s="36" t="s">
        <v>28</v>
      </c>
      <c r="E842" s="37" t="s">
        <v>3304</v>
      </c>
      <c r="F842" s="43">
        <v>326.39999999999998</v>
      </c>
      <c r="G842" s="100">
        <f t="shared" si="12"/>
        <v>326.39999999999998</v>
      </c>
      <c r="H842" s="101"/>
      <c r="I842" s="100">
        <f>G842*H842</f>
        <v>0</v>
      </c>
      <c r="J842" s="39" t="s">
        <v>3664</v>
      </c>
      <c r="K842" s="40" t="s">
        <v>41</v>
      </c>
      <c r="L842" s="41"/>
      <c r="M842" s="42" t="str">
        <f>HYPERLINK("https://catalog.onliner.by/xmaslights/neonnight/237114237114", "https://catalog.onliner.by/xmaslights/neonnight/237114237114")</f>
        <v>https://catalog.onliner.by/xmaslights/neonnight/237114237114</v>
      </c>
      <c r="N842" s="42" t="str">
        <f>HYPERLINK("https://pronto.by/catalog/product/237-114.html", "https://pronto.by/catalog/product/237-114.html")</f>
        <v>https://pronto.by/catalog/product/237-114.html</v>
      </c>
    </row>
    <row r="843" spans="1:14" customFormat="1" ht="69">
      <c r="A843" s="35" t="s">
        <v>1922</v>
      </c>
      <c r="B843" s="19" t="s">
        <v>1923</v>
      </c>
      <c r="C843" s="20" t="s">
        <v>1924</v>
      </c>
      <c r="D843" s="36" t="s">
        <v>28</v>
      </c>
      <c r="E843" s="37" t="s">
        <v>3304</v>
      </c>
      <c r="F843" s="43">
        <v>326.39999999999998</v>
      </c>
      <c r="G843" s="100">
        <f t="shared" si="12"/>
        <v>326.39999999999998</v>
      </c>
      <c r="H843" s="101"/>
      <c r="I843" s="100">
        <f>G843*H843</f>
        <v>0</v>
      </c>
      <c r="J843" s="39" t="s">
        <v>3664</v>
      </c>
      <c r="K843" s="40" t="s">
        <v>41</v>
      </c>
      <c r="L843" s="41"/>
      <c r="M843" s="42" t="str">
        <f>HYPERLINK("https://catalog.onliner.by/xmaslights/neonnight/237113237113", "https://catalog.onliner.by/xmaslights/neonnight/237113237113")</f>
        <v>https://catalog.onliner.by/xmaslights/neonnight/237113237113</v>
      </c>
      <c r="N843" s="42" t="str">
        <f>HYPERLINK("https://pronto.by/catalog/product/237-113.html", "https://pronto.by/catalog/product/237-113.html")</f>
        <v>https://pronto.by/catalog/product/237-113.html</v>
      </c>
    </row>
    <row r="844" spans="1:14" customFormat="1" ht="69">
      <c r="A844" s="35" t="s">
        <v>1925</v>
      </c>
      <c r="B844" s="19" t="s">
        <v>1926</v>
      </c>
      <c r="C844" s="20" t="s">
        <v>1927</v>
      </c>
      <c r="D844" s="36" t="s">
        <v>28</v>
      </c>
      <c r="E844" s="37" t="s">
        <v>3304</v>
      </c>
      <c r="F844" s="43">
        <v>326.39999999999998</v>
      </c>
      <c r="G844" s="100">
        <f t="shared" si="12"/>
        <v>326.39999999999998</v>
      </c>
      <c r="H844" s="101"/>
      <c r="I844" s="100">
        <f>G844*H844</f>
        <v>0</v>
      </c>
      <c r="J844" s="39" t="s">
        <v>3664</v>
      </c>
      <c r="K844" s="40" t="s">
        <v>41</v>
      </c>
      <c r="L844" s="41"/>
      <c r="M844" s="42" t="str">
        <f>HYPERLINK("https://catalog.onliner.by/xmaslights/neonnight/237125237125", "https://catalog.onliner.by/xmaslights/neonnight/237125237125")</f>
        <v>https://catalog.onliner.by/xmaslights/neonnight/237125237125</v>
      </c>
      <c r="N844" s="42" t="str">
        <f>HYPERLINK("https://pronto.by/catalog/product/237-125.html", "https://pronto.by/catalog/product/237-125.html")</f>
        <v>https://pronto.by/catalog/product/237-125.html</v>
      </c>
    </row>
    <row r="845" spans="1:14" customFormat="1" ht="69">
      <c r="A845" s="35" t="s">
        <v>1928</v>
      </c>
      <c r="B845" s="19" t="s">
        <v>1929</v>
      </c>
      <c r="C845" s="20" t="s">
        <v>1930</v>
      </c>
      <c r="D845" s="36" t="s">
        <v>28</v>
      </c>
      <c r="E845" s="37" t="s">
        <v>3304</v>
      </c>
      <c r="F845" s="43">
        <v>326.39999999999998</v>
      </c>
      <c r="G845" s="100">
        <f t="shared" si="12"/>
        <v>326.39999999999998</v>
      </c>
      <c r="H845" s="101"/>
      <c r="I845" s="100">
        <f>G845*H845</f>
        <v>0</v>
      </c>
      <c r="J845" s="39" t="s">
        <v>3664</v>
      </c>
      <c r="K845" s="40" t="s">
        <v>41</v>
      </c>
      <c r="L845" s="41"/>
      <c r="M845" s="42" t="str">
        <f>HYPERLINK("https://catalog.onliner.by/xmaslights/neonnight/237124", "https://catalog.onliner.by/xmaslights/neonnight/237124")</f>
        <v>https://catalog.onliner.by/xmaslights/neonnight/237124</v>
      </c>
      <c r="N845" s="42" t="str">
        <f>HYPERLINK("https://pronto.by/catalog/product/237-124.html", "https://pronto.by/catalog/product/237-124.html")</f>
        <v>https://pronto.by/catalog/product/237-124.html</v>
      </c>
    </row>
    <row r="846" spans="1:14" customFormat="1" ht="69">
      <c r="A846" s="35" t="s">
        <v>1931</v>
      </c>
      <c r="B846" s="19" t="s">
        <v>1932</v>
      </c>
      <c r="C846" s="20" t="s">
        <v>1933</v>
      </c>
      <c r="D846" s="36" t="s">
        <v>28</v>
      </c>
      <c r="E846" s="37" t="s">
        <v>3304</v>
      </c>
      <c r="F846" s="43">
        <v>293.76</v>
      </c>
      <c r="G846" s="100">
        <f t="shared" si="12"/>
        <v>293.76</v>
      </c>
      <c r="H846" s="101"/>
      <c r="I846" s="100">
        <f>G846*H846</f>
        <v>0</v>
      </c>
      <c r="J846" s="39" t="s">
        <v>3664</v>
      </c>
      <c r="K846" s="40" t="s">
        <v>41</v>
      </c>
      <c r="L846" s="41"/>
      <c r="M846" s="42" t="str">
        <f>HYPERLINK("https://catalog.onliner.by/xmaslights/neonnight/237122237122", "https://catalog.onliner.by/xmaslights/neonnight/237122237122")</f>
        <v>https://catalog.onliner.by/xmaslights/neonnight/237122237122</v>
      </c>
      <c r="N846" s="42" t="str">
        <f>HYPERLINK("https://pronto.by/catalog/product/237-122.html", "https://pronto.by/catalog/product/237-122.html")</f>
        <v>https://pronto.by/catalog/product/237-122.html</v>
      </c>
    </row>
    <row r="847" spans="1:14" customFormat="1" ht="15.6">
      <c r="A847" s="81" t="s">
        <v>3899</v>
      </c>
      <c r="B847" s="67"/>
      <c r="C847" s="67"/>
      <c r="D847" s="32"/>
      <c r="E847" s="32"/>
      <c r="F847" s="32"/>
      <c r="G847" s="52"/>
      <c r="H847" s="52"/>
      <c r="I847" s="52"/>
      <c r="J847" s="32"/>
      <c r="K847" s="32"/>
      <c r="L847" s="33"/>
      <c r="M847" s="33"/>
      <c r="N847" s="34"/>
    </row>
    <row r="848" spans="1:14" customFormat="1" ht="69">
      <c r="A848" s="35" t="s">
        <v>3900</v>
      </c>
      <c r="B848" s="19" t="s">
        <v>3901</v>
      </c>
      <c r="C848" s="20" t="s">
        <v>3902</v>
      </c>
      <c r="D848" s="36" t="s">
        <v>28</v>
      </c>
      <c r="E848" s="37" t="s">
        <v>3304</v>
      </c>
      <c r="F848" s="43">
        <v>574.44000000000005</v>
      </c>
      <c r="G848" s="100">
        <f t="shared" ref="G848:G910" si="13">ROUND(F848-F848*G$3,2)</f>
        <v>574.44000000000005</v>
      </c>
      <c r="H848" s="101"/>
      <c r="I848" s="100">
        <f>G848*H848</f>
        <v>0</v>
      </c>
      <c r="J848" s="39" t="s">
        <v>3664</v>
      </c>
      <c r="K848" s="40" t="s">
        <v>41</v>
      </c>
      <c r="L848" s="41"/>
      <c r="M848" s="42" t="str">
        <f>HYPERLINK("https://catalog.onliner.by/xmaslights/neonnight/237134237134", "https://catalog.onliner.by/xmaslights/neonnight/237134237134")</f>
        <v>https://catalog.onliner.by/xmaslights/neonnight/237134237134</v>
      </c>
      <c r="N848" s="42" t="str">
        <f>HYPERLINK("https://pronto.by/catalog/product/237-134.html", "https://pronto.by/catalog/product/237-134.html")</f>
        <v>https://pronto.by/catalog/product/237-134.html</v>
      </c>
    </row>
    <row r="849" spans="1:14" customFormat="1" ht="69">
      <c r="A849" s="35" t="s">
        <v>3903</v>
      </c>
      <c r="B849" s="19" t="s">
        <v>3904</v>
      </c>
      <c r="C849" s="20" t="s">
        <v>3905</v>
      </c>
      <c r="D849" s="36" t="s">
        <v>28</v>
      </c>
      <c r="E849" s="37" t="s">
        <v>3304</v>
      </c>
      <c r="F849" s="43">
        <v>574.44000000000005</v>
      </c>
      <c r="G849" s="100">
        <f t="shared" si="13"/>
        <v>574.44000000000005</v>
      </c>
      <c r="H849" s="101"/>
      <c r="I849" s="100">
        <f>G849*H849</f>
        <v>0</v>
      </c>
      <c r="J849" s="39" t="s">
        <v>3664</v>
      </c>
      <c r="K849" s="40" t="s">
        <v>41</v>
      </c>
      <c r="L849" s="41"/>
      <c r="M849" s="42" t="str">
        <f>HYPERLINK("https://catalog.onliner.by/xmaslights/neonnight/237136237136", "https://catalog.onliner.by/xmaslights/neonnight/237136237136")</f>
        <v>https://catalog.onliner.by/xmaslights/neonnight/237136237136</v>
      </c>
      <c r="N849" s="42" t="str">
        <f>HYPERLINK("https://pronto.by/catalog/product/237-136.html", "https://pronto.by/catalog/product/237-136.html")</f>
        <v>https://pronto.by/catalog/product/237-136.html</v>
      </c>
    </row>
    <row r="850" spans="1:14" customFormat="1" ht="69">
      <c r="A850" s="35" t="s">
        <v>1934</v>
      </c>
      <c r="B850" s="19" t="s">
        <v>1935</v>
      </c>
      <c r="C850" s="20" t="s">
        <v>1936</v>
      </c>
      <c r="D850" s="36" t="s">
        <v>28</v>
      </c>
      <c r="E850" s="37" t="s">
        <v>3304</v>
      </c>
      <c r="F850" s="43">
        <v>777.66000000000008</v>
      </c>
      <c r="G850" s="100">
        <f t="shared" si="13"/>
        <v>777.66</v>
      </c>
      <c r="H850" s="101"/>
      <c r="I850" s="100">
        <f>G850*H850</f>
        <v>0</v>
      </c>
      <c r="J850" s="39" t="s">
        <v>3664</v>
      </c>
      <c r="K850" s="40" t="s">
        <v>41</v>
      </c>
      <c r="L850" s="41"/>
      <c r="M850" s="42" t="str">
        <f>HYPERLINK("https://catalog.onliner.by/xmaslights/neonnight/nn237145", "https://catalog.onliner.by/xmaslights/neonnight/nn237145")</f>
        <v>https://catalog.onliner.by/xmaslights/neonnight/nn237145</v>
      </c>
      <c r="N850" s="42" t="str">
        <f>HYPERLINK("https://pronto.by/catalog/product/237-145.html", "https://pronto.by/catalog/product/237-145.html")</f>
        <v>https://pronto.by/catalog/product/237-145.html</v>
      </c>
    </row>
    <row r="851" spans="1:14" customFormat="1" ht="15.6">
      <c r="A851" s="81" t="s">
        <v>3906</v>
      </c>
      <c r="B851" s="67"/>
      <c r="C851" s="67"/>
      <c r="D851" s="32"/>
      <c r="E851" s="32"/>
      <c r="F851" s="32"/>
      <c r="G851" s="52"/>
      <c r="H851" s="52"/>
      <c r="I851" s="52"/>
      <c r="J851" s="32"/>
      <c r="K851" s="32"/>
      <c r="L851" s="33"/>
      <c r="M851" s="33"/>
      <c r="N851" s="34"/>
    </row>
    <row r="852" spans="1:14" customFormat="1" ht="69">
      <c r="A852" s="35" t="s">
        <v>1937</v>
      </c>
      <c r="B852" s="19" t="s">
        <v>1938</v>
      </c>
      <c r="C852" s="20" t="s">
        <v>1939</v>
      </c>
      <c r="D852" s="36" t="s">
        <v>28</v>
      </c>
      <c r="E852" s="37" t="s">
        <v>3280</v>
      </c>
      <c r="F852" s="43">
        <v>927.36</v>
      </c>
      <c r="G852" s="100">
        <f t="shared" si="13"/>
        <v>927.36</v>
      </c>
      <c r="H852" s="101"/>
      <c r="I852" s="100">
        <f>G852*H852</f>
        <v>0</v>
      </c>
      <c r="J852" s="39" t="s">
        <v>3664</v>
      </c>
      <c r="K852" s="40" t="s">
        <v>41</v>
      </c>
      <c r="L852" s="41"/>
      <c r="M852" s="42" t="str">
        <f>HYPERLINK("https://catalog.onliner.by/xmaslights/neonnight/nn237165", "https://catalog.onliner.by/xmaslights/neonnight/nn237165")</f>
        <v>https://catalog.onliner.by/xmaslights/neonnight/nn237165</v>
      </c>
      <c r="N852" s="42" t="str">
        <f>HYPERLINK("https://pronto.by/catalog/product/237-165.html", "https://pronto.by/catalog/product/237-165.html")</f>
        <v>https://pronto.by/catalog/product/237-165.html</v>
      </c>
    </row>
    <row r="853" spans="1:14" customFormat="1" ht="15.6">
      <c r="A853" s="81" t="s">
        <v>3907</v>
      </c>
      <c r="B853" s="67"/>
      <c r="C853" s="67"/>
      <c r="D853" s="32"/>
      <c r="E853" s="32"/>
      <c r="F853" s="32"/>
      <c r="G853" s="52"/>
      <c r="H853" s="52"/>
      <c r="I853" s="52"/>
      <c r="J853" s="32"/>
      <c r="K853" s="32"/>
      <c r="L853" s="33"/>
      <c r="M853" s="33"/>
      <c r="N853" s="34"/>
    </row>
    <row r="854" spans="1:14" customFormat="1" ht="41.4">
      <c r="A854" s="35" t="s">
        <v>3908</v>
      </c>
      <c r="B854" s="19" t="s">
        <v>3909</v>
      </c>
      <c r="C854" s="20" t="s">
        <v>3910</v>
      </c>
      <c r="D854" s="36" t="s">
        <v>28</v>
      </c>
      <c r="E854" s="37" t="s">
        <v>3272</v>
      </c>
      <c r="F854" s="43">
        <v>114.42</v>
      </c>
      <c r="G854" s="100">
        <f t="shared" si="13"/>
        <v>114.42</v>
      </c>
      <c r="H854" s="101"/>
      <c r="I854" s="100">
        <f>G854*H854</f>
        <v>0</v>
      </c>
      <c r="J854" s="39" t="s">
        <v>3664</v>
      </c>
      <c r="K854" s="40" t="s">
        <v>41</v>
      </c>
      <c r="L854" s="41"/>
      <c r="M854" s="42" t="str">
        <f>HYPERLINK("https://catalog.onliner.by/ledcontrol/neonnight/neon245901", "https://catalog.onliner.by/ledcontrol/neonnight/neon245901")</f>
        <v>https://catalog.onliner.by/ledcontrol/neonnight/neon245901</v>
      </c>
      <c r="N854" s="42" t="str">
        <f>HYPERLINK("https://pronto.by/catalog/product/245-901.html", "https://pronto.by/catalog/product/245-901.html")</f>
        <v>https://pronto.by/catalog/product/245-901.html</v>
      </c>
    </row>
    <row r="855" spans="1:14" customFormat="1" ht="41.4">
      <c r="A855" s="35" t="s">
        <v>3911</v>
      </c>
      <c r="B855" s="19" t="s">
        <v>3912</v>
      </c>
      <c r="C855" s="20" t="s">
        <v>3913</v>
      </c>
      <c r="D855" s="36" t="s">
        <v>28</v>
      </c>
      <c r="E855" s="37" t="s">
        <v>3291</v>
      </c>
      <c r="F855" s="43">
        <v>551.76</v>
      </c>
      <c r="G855" s="100">
        <f t="shared" si="13"/>
        <v>551.76</v>
      </c>
      <c r="H855" s="101"/>
      <c r="I855" s="100">
        <f>G855*H855</f>
        <v>0</v>
      </c>
      <c r="J855" s="39" t="s">
        <v>3664</v>
      </c>
      <c r="K855" s="40" t="s">
        <v>41</v>
      </c>
      <c r="L855" s="41"/>
      <c r="M855" s="42" t="str">
        <f>HYPERLINK("https://catalog.onliner.by/xmaslights/neonnight/neon245911", "https://catalog.onliner.by/xmaslights/neonnight/neon245911")</f>
        <v>https://catalog.onliner.by/xmaslights/neonnight/neon245911</v>
      </c>
      <c r="N855" s="42" t="str">
        <f>HYPERLINK("https://pronto.by/catalog/product/245-911.html", "https://pronto.by/catalog/product/245-911.html")</f>
        <v>https://pronto.by/catalog/product/245-911.html</v>
      </c>
    </row>
    <row r="856" spans="1:14" customFormat="1" ht="62.4">
      <c r="A856" s="35" t="s">
        <v>3914</v>
      </c>
      <c r="B856" s="19" t="s">
        <v>3915</v>
      </c>
      <c r="C856" s="20" t="s">
        <v>3916</v>
      </c>
      <c r="D856" s="36" t="s">
        <v>28</v>
      </c>
      <c r="E856" s="37" t="s">
        <v>3304</v>
      </c>
      <c r="F856" s="43">
        <v>752.34</v>
      </c>
      <c r="G856" s="100">
        <f t="shared" si="13"/>
        <v>752.34</v>
      </c>
      <c r="H856" s="101"/>
      <c r="I856" s="100">
        <f>G856*H856</f>
        <v>0</v>
      </c>
      <c r="J856" s="39" t="s">
        <v>3664</v>
      </c>
      <c r="K856" s="40" t="s">
        <v>41</v>
      </c>
      <c r="L856" s="41" t="s">
        <v>3917</v>
      </c>
      <c r="M856" s="42" t="str">
        <f>HYPERLINK("https://catalog.onliner.by/xmaslights/neonnight/nn245335", "https://catalog.onliner.by/xmaslights/neonnight/nn245335")</f>
        <v>https://catalog.onliner.by/xmaslights/neonnight/nn245335</v>
      </c>
      <c r="N856" s="42" t="str">
        <f>HYPERLINK("https://pronto.by/catalog/product/245-335.html", "https://pronto.by/catalog/product/245-335.html")</f>
        <v>https://pronto.by/catalog/product/245-335.html</v>
      </c>
    </row>
    <row r="857" spans="1:14" customFormat="1" ht="15.6">
      <c r="A857" s="81" t="s">
        <v>3918</v>
      </c>
      <c r="B857" s="67"/>
      <c r="C857" s="67"/>
      <c r="D857" s="32"/>
      <c r="E857" s="32"/>
      <c r="F857" s="32"/>
      <c r="G857" s="52"/>
      <c r="H857" s="52"/>
      <c r="I857" s="52"/>
      <c r="J857" s="32"/>
      <c r="K857" s="32"/>
      <c r="L857" s="33"/>
      <c r="M857" s="33"/>
      <c r="N857" s="34"/>
    </row>
    <row r="858" spans="1:14" customFormat="1" ht="15.6">
      <c r="A858" s="81" t="s">
        <v>3919</v>
      </c>
      <c r="B858" s="67"/>
      <c r="C858" s="67"/>
      <c r="D858" s="32"/>
      <c r="E858" s="32"/>
      <c r="F858" s="32"/>
      <c r="G858" s="52"/>
      <c r="H858" s="52"/>
      <c r="I858" s="52"/>
      <c r="J858" s="32"/>
      <c r="K858" s="32"/>
      <c r="L858" s="33"/>
      <c r="M858" s="33"/>
      <c r="N858" s="34"/>
    </row>
    <row r="859" spans="1:14" customFormat="1" ht="69">
      <c r="A859" s="35" t="s">
        <v>1940</v>
      </c>
      <c r="B859" s="19" t="s">
        <v>1941</v>
      </c>
      <c r="C859" s="20" t="s">
        <v>3920</v>
      </c>
      <c r="D859" s="36" t="s">
        <v>28</v>
      </c>
      <c r="E859" s="37" t="s">
        <v>3273</v>
      </c>
      <c r="F859" s="43">
        <v>56.82</v>
      </c>
      <c r="G859" s="100">
        <f t="shared" si="13"/>
        <v>56.82</v>
      </c>
      <c r="H859" s="101"/>
      <c r="I859" s="100">
        <f>G859*H859</f>
        <v>0</v>
      </c>
      <c r="J859" s="39" t="s">
        <v>3336</v>
      </c>
      <c r="K859" s="40" t="s">
        <v>41</v>
      </c>
      <c r="L859" s="41"/>
      <c r="M859" s="42" t="str">
        <f>HYPERLINK("https://catalog.onliner.by/xmaslights/neonnight/neon255025", "https://catalog.onliner.by/xmaslights/neonnight/neon255025")</f>
        <v>https://catalog.onliner.by/xmaslights/neonnight/neon255025</v>
      </c>
      <c r="N859" s="42" t="str">
        <f>HYPERLINK("https://pronto.by/catalog/product/255-025.html", "https://pronto.by/catalog/product/255-025.html")</f>
        <v>https://pronto.by/catalog/product/255-025.html</v>
      </c>
    </row>
    <row r="860" spans="1:14" customFormat="1" ht="69">
      <c r="A860" s="35" t="s">
        <v>1942</v>
      </c>
      <c r="B860" s="19" t="s">
        <v>1943</v>
      </c>
      <c r="C860" s="20" t="s">
        <v>1944</v>
      </c>
      <c r="D860" s="36" t="s">
        <v>28</v>
      </c>
      <c r="E860" s="37" t="s">
        <v>3273</v>
      </c>
      <c r="F860" s="43">
        <v>56.82</v>
      </c>
      <c r="G860" s="100">
        <f t="shared" si="13"/>
        <v>56.82</v>
      </c>
      <c r="H860" s="101"/>
      <c r="I860" s="100">
        <f>G860*H860</f>
        <v>0</v>
      </c>
      <c r="J860" s="39" t="s">
        <v>3336</v>
      </c>
      <c r="K860" s="40" t="s">
        <v>41</v>
      </c>
      <c r="L860" s="41"/>
      <c r="M860" s="42" t="str">
        <f>HYPERLINK("https://catalog.onliner.by/xmaslights/neonnight/neon255023", "https://catalog.onliner.by/xmaslights/neonnight/neon255023")</f>
        <v>https://catalog.onliner.by/xmaslights/neonnight/neon255023</v>
      </c>
      <c r="N860" s="42" t="str">
        <f>HYPERLINK("https://pronto.by/catalog/product/255-023.html", "https://pronto.by/catalog/product/255-023.html")</f>
        <v>https://pronto.by/catalog/product/255-023.html</v>
      </c>
    </row>
    <row r="861" spans="1:14" customFormat="1" ht="69">
      <c r="A861" s="35" t="s">
        <v>1945</v>
      </c>
      <c r="B861" s="19" t="s">
        <v>1946</v>
      </c>
      <c r="C861" s="20" t="s">
        <v>1947</v>
      </c>
      <c r="D861" s="36" t="s">
        <v>28</v>
      </c>
      <c r="E861" s="37" t="s">
        <v>3273</v>
      </c>
      <c r="F861" s="43">
        <v>58.680000000000007</v>
      </c>
      <c r="G861" s="100">
        <f t="shared" si="13"/>
        <v>58.68</v>
      </c>
      <c r="H861" s="101"/>
      <c r="I861" s="100">
        <f>G861*H861</f>
        <v>0</v>
      </c>
      <c r="J861" s="39" t="s">
        <v>3336</v>
      </c>
      <c r="K861" s="40" t="s">
        <v>41</v>
      </c>
      <c r="L861" s="41"/>
      <c r="M861" s="42" t="str">
        <f>HYPERLINK("https://catalog.onliner.by/xmaslights/neonnight/neon255026", "https://catalog.onliner.by/xmaslights/neonnight/neon255026")</f>
        <v>https://catalog.onliner.by/xmaslights/neonnight/neon255026</v>
      </c>
      <c r="N861" s="42" t="str">
        <f>HYPERLINK("https://pronto.by/catalog/product/255-026.html", "https://pronto.by/catalog/product/255-026.html")</f>
        <v>https://pronto.by/catalog/product/255-026.html</v>
      </c>
    </row>
    <row r="862" spans="1:14" customFormat="1" ht="15.6">
      <c r="A862" s="81" t="s">
        <v>3921</v>
      </c>
      <c r="B862" s="67"/>
      <c r="C862" s="67"/>
      <c r="D862" s="32"/>
      <c r="E862" s="32"/>
      <c r="F862" s="32"/>
      <c r="G862" s="52"/>
      <c r="H862" s="52"/>
      <c r="I862" s="52"/>
      <c r="J862" s="32"/>
      <c r="K862" s="32"/>
      <c r="L862" s="33"/>
      <c r="M862" s="33"/>
      <c r="N862" s="34"/>
    </row>
    <row r="863" spans="1:14" customFormat="1" ht="82.8">
      <c r="A863" s="35" t="s">
        <v>1948</v>
      </c>
      <c r="B863" s="19" t="s">
        <v>1949</v>
      </c>
      <c r="C863" s="20" t="s">
        <v>3922</v>
      </c>
      <c r="D863" s="36" t="s">
        <v>28</v>
      </c>
      <c r="E863" s="37" t="s">
        <v>3273</v>
      </c>
      <c r="F863" s="43">
        <v>75.42</v>
      </c>
      <c r="G863" s="100">
        <f t="shared" si="13"/>
        <v>75.42</v>
      </c>
      <c r="H863" s="101"/>
      <c r="I863" s="100">
        <f>G863*H863</f>
        <v>0</v>
      </c>
      <c r="J863" s="39" t="s">
        <v>3336</v>
      </c>
      <c r="K863" s="40" t="s">
        <v>41</v>
      </c>
      <c r="L863" s="41"/>
      <c r="M863" s="42" t="str">
        <f>HYPERLINK("https://catalog.onliner.by/xmaslights/neonnight/nn2550346", "https://catalog.onliner.by/xmaslights/neonnight/nn2550346")</f>
        <v>https://catalog.onliner.by/xmaslights/neonnight/nn2550346</v>
      </c>
      <c r="N863" s="42" t="str">
        <f>HYPERLINK("https://pronto.by/catalog/product/255-034-6.html", "https://pronto.by/catalog/product/255-034-6.html")</f>
        <v>https://pronto.by/catalog/product/255-034-6.html</v>
      </c>
    </row>
    <row r="864" spans="1:14" customFormat="1" ht="82.8">
      <c r="A864" s="35" t="s">
        <v>1950</v>
      </c>
      <c r="B864" s="19" t="s">
        <v>1951</v>
      </c>
      <c r="C864" s="20" t="s">
        <v>1952</v>
      </c>
      <c r="D864" s="36" t="s">
        <v>28</v>
      </c>
      <c r="E864" s="37" t="s">
        <v>3273</v>
      </c>
      <c r="F864" s="43">
        <v>75.42</v>
      </c>
      <c r="G864" s="100">
        <f t="shared" si="13"/>
        <v>75.42</v>
      </c>
      <c r="H864" s="101"/>
      <c r="I864" s="100">
        <f>G864*H864</f>
        <v>0</v>
      </c>
      <c r="J864" s="39" t="s">
        <v>3336</v>
      </c>
      <c r="K864" s="40" t="s">
        <v>69</v>
      </c>
      <c r="L864" s="41"/>
      <c r="M864" s="42" t="str">
        <f>HYPERLINK("https://catalog.onliner.by/xmaslights/neonnight/nn2550336", "https://catalog.onliner.by/xmaslights/neonnight/nn2550336")</f>
        <v>https://catalog.onliner.by/xmaslights/neonnight/nn2550336</v>
      </c>
      <c r="N864" s="42" t="str">
        <f>HYPERLINK("https://pronto.by/catalog/product/255-033-6.html", "https://pronto.by/catalog/product/255-033-6.html")</f>
        <v>https://pronto.by/catalog/product/255-033-6.html</v>
      </c>
    </row>
    <row r="865" spans="1:14" customFormat="1" ht="82.8">
      <c r="A865" s="35" t="s">
        <v>1953</v>
      </c>
      <c r="B865" s="19" t="s">
        <v>1954</v>
      </c>
      <c r="C865" s="20" t="s">
        <v>3923</v>
      </c>
      <c r="D865" s="36" t="s">
        <v>28</v>
      </c>
      <c r="E865" s="37" t="s">
        <v>3273</v>
      </c>
      <c r="F865" s="43">
        <v>75.42</v>
      </c>
      <c r="G865" s="100">
        <f t="shared" si="13"/>
        <v>75.42</v>
      </c>
      <c r="H865" s="101"/>
      <c r="I865" s="100">
        <f>G865*H865</f>
        <v>0</v>
      </c>
      <c r="J865" s="39" t="s">
        <v>3336</v>
      </c>
      <c r="K865" s="40" t="s">
        <v>69</v>
      </c>
      <c r="L865" s="41"/>
      <c r="M865" s="42" t="str">
        <f>HYPERLINK("https://catalog.onliner.by/xmaslights/neonnight/nn2550376", "https://catalog.onliner.by/xmaslights/neonnight/nn2550376")</f>
        <v>https://catalog.onliner.by/xmaslights/neonnight/nn2550376</v>
      </c>
      <c r="N865" s="42" t="str">
        <f>HYPERLINK("https://pronto.by/catalog/product/255-037-6.html", "https://pronto.by/catalog/product/255-037-6.html")</f>
        <v>https://pronto.by/catalog/product/255-037-6.html</v>
      </c>
    </row>
    <row r="866" spans="1:14" customFormat="1" ht="69">
      <c r="A866" s="35" t="s">
        <v>1955</v>
      </c>
      <c r="B866" s="19" t="s">
        <v>1956</v>
      </c>
      <c r="C866" s="20" t="s">
        <v>1957</v>
      </c>
      <c r="D866" s="36" t="s">
        <v>28</v>
      </c>
      <c r="E866" s="37" t="s">
        <v>3281</v>
      </c>
      <c r="F866" s="43">
        <v>86.399999999999991</v>
      </c>
      <c r="G866" s="100">
        <f t="shared" si="13"/>
        <v>86.4</v>
      </c>
      <c r="H866" s="101"/>
      <c r="I866" s="100">
        <f>G866*H866</f>
        <v>0</v>
      </c>
      <c r="J866" s="39" t="s">
        <v>3336</v>
      </c>
      <c r="K866" s="40" t="s">
        <v>41</v>
      </c>
      <c r="L866" s="41"/>
      <c r="M866" s="42" t="str">
        <f>HYPERLINK("https://catalog.onliner.by/xmaslights/neonnight/nn255034", "https://catalog.onliner.by/xmaslights/neonnight/nn255034")</f>
        <v>https://catalog.onliner.by/xmaslights/neonnight/nn255034</v>
      </c>
      <c r="N866" s="42" t="str">
        <f>HYPERLINK("https://pronto.by/catalog/product/255-034.html", "https://pronto.by/catalog/product/255-034.html")</f>
        <v>https://pronto.by/catalog/product/255-034.html</v>
      </c>
    </row>
    <row r="867" spans="1:14" customFormat="1" ht="69">
      <c r="A867" s="35" t="s">
        <v>1958</v>
      </c>
      <c r="B867" s="19" t="s">
        <v>1959</v>
      </c>
      <c r="C867" s="20" t="s">
        <v>3924</v>
      </c>
      <c r="D867" s="36" t="s">
        <v>28</v>
      </c>
      <c r="E867" s="37" t="s">
        <v>3281</v>
      </c>
      <c r="F867" s="43">
        <v>90.899999999999991</v>
      </c>
      <c r="G867" s="100">
        <f t="shared" si="13"/>
        <v>90.9</v>
      </c>
      <c r="H867" s="101"/>
      <c r="I867" s="100">
        <f>G867*H867</f>
        <v>0</v>
      </c>
      <c r="J867" s="39" t="s">
        <v>3336</v>
      </c>
      <c r="K867" s="40" t="s">
        <v>69</v>
      </c>
      <c r="L867" s="41"/>
      <c r="M867" s="42" t="str">
        <f>HYPERLINK("https://catalog.onliner.by/xmaslights/neonnight/nn255036", "https://catalog.onliner.by/xmaslights/neonnight/nn255036")</f>
        <v>https://catalog.onliner.by/xmaslights/neonnight/nn255036</v>
      </c>
      <c r="N867" s="42" t="str">
        <f>HYPERLINK("https://pronto.by/catalog/product/255-036.html", "https://pronto.by/catalog/product/255-036.html")</f>
        <v>https://pronto.by/catalog/product/255-036.html</v>
      </c>
    </row>
    <row r="868" spans="1:14" customFormat="1" ht="69">
      <c r="A868" s="35" t="s">
        <v>1960</v>
      </c>
      <c r="B868" s="19" t="s">
        <v>1961</v>
      </c>
      <c r="C868" s="20" t="s">
        <v>1962</v>
      </c>
      <c r="D868" s="36" t="s">
        <v>28</v>
      </c>
      <c r="E868" s="37" t="s">
        <v>3273</v>
      </c>
      <c r="F868" s="43">
        <v>82.02000000000001</v>
      </c>
      <c r="G868" s="100">
        <f t="shared" si="13"/>
        <v>82.02</v>
      </c>
      <c r="H868" s="101"/>
      <c r="I868" s="100">
        <f>G868*H868</f>
        <v>0</v>
      </c>
      <c r="J868" s="39" t="s">
        <v>3336</v>
      </c>
      <c r="K868" s="40" t="s">
        <v>41</v>
      </c>
      <c r="L868" s="41"/>
      <c r="M868" s="42" t="str">
        <f>HYPERLINK("https://catalog.onliner.by/xmaslights/neonnight/255055255055", "https://catalog.onliner.by/xmaslights/neonnight/255055255055")</f>
        <v>https://catalog.onliner.by/xmaslights/neonnight/255055255055</v>
      </c>
      <c r="N868" s="42" t="str">
        <f>HYPERLINK("https://pronto.by/catalog/product/255-055.html", "https://pronto.by/catalog/product/255-055.html")</f>
        <v>https://pronto.by/catalog/product/255-055.html</v>
      </c>
    </row>
    <row r="869" spans="1:14" customFormat="1" ht="82.8">
      <c r="A869" s="35" t="s">
        <v>1963</v>
      </c>
      <c r="B869" s="19" t="s">
        <v>1964</v>
      </c>
      <c r="C869" s="20" t="s">
        <v>1965</v>
      </c>
      <c r="D869" s="36" t="s">
        <v>28</v>
      </c>
      <c r="E869" s="37" t="s">
        <v>3281</v>
      </c>
      <c r="F869" s="43">
        <v>86.399999999999991</v>
      </c>
      <c r="G869" s="100">
        <f t="shared" si="13"/>
        <v>86.4</v>
      </c>
      <c r="H869" s="101"/>
      <c r="I869" s="100">
        <f>G869*H869</f>
        <v>0</v>
      </c>
      <c r="J869" s="39" t="s">
        <v>3336</v>
      </c>
      <c r="K869" s="40" t="s">
        <v>41</v>
      </c>
      <c r="L869" s="41"/>
      <c r="M869" s="42" t="str">
        <f>HYPERLINK("https://catalog.onliner.by/xmaslights/neonnight/nn255032", "https://catalog.onliner.by/xmaslights/neonnight/nn255032")</f>
        <v>https://catalog.onliner.by/xmaslights/neonnight/nn255032</v>
      </c>
      <c r="N869" s="42" t="str">
        <f>HYPERLINK("https://pronto.by/catalog/product/255-032.html", "https://pronto.by/catalog/product/255-032.html")</f>
        <v>https://pronto.by/catalog/product/255-032.html</v>
      </c>
    </row>
    <row r="870" spans="1:14" customFormat="1" ht="69">
      <c r="A870" s="35" t="s">
        <v>1966</v>
      </c>
      <c r="B870" s="19" t="s">
        <v>1967</v>
      </c>
      <c r="C870" s="20" t="s">
        <v>1968</v>
      </c>
      <c r="D870" s="36" t="s">
        <v>28</v>
      </c>
      <c r="E870" s="37" t="s">
        <v>3283</v>
      </c>
      <c r="F870" s="43">
        <v>77.759999999999991</v>
      </c>
      <c r="G870" s="100">
        <f t="shared" si="13"/>
        <v>77.760000000000005</v>
      </c>
      <c r="H870" s="101"/>
      <c r="I870" s="100">
        <f>G870*H870</f>
        <v>0</v>
      </c>
      <c r="J870" s="39" t="s">
        <v>3336</v>
      </c>
      <c r="K870" s="40" t="s">
        <v>41</v>
      </c>
      <c r="L870" s="41"/>
      <c r="M870" s="42" t="str">
        <f>HYPERLINK("https://catalog.onliner.by/xmaslights/neonnight/255044255044", "https://catalog.onliner.by/xmaslights/neonnight/255044255044")</f>
        <v>https://catalog.onliner.by/xmaslights/neonnight/255044255044</v>
      </c>
      <c r="N870" s="42" t="str">
        <f>HYPERLINK("https://pronto.by/catalog/product/255-044.html", "https://pronto.by/catalog/product/255-044.html")</f>
        <v>https://pronto.by/catalog/product/255-044.html</v>
      </c>
    </row>
    <row r="871" spans="1:14" customFormat="1" ht="69">
      <c r="A871" s="35" t="s">
        <v>1969</v>
      </c>
      <c r="B871" s="19" t="s">
        <v>1970</v>
      </c>
      <c r="C871" s="20" t="s">
        <v>3925</v>
      </c>
      <c r="D871" s="36" t="s">
        <v>28</v>
      </c>
      <c r="E871" s="37" t="s">
        <v>3273</v>
      </c>
      <c r="F871" s="43">
        <v>90.899999999999991</v>
      </c>
      <c r="G871" s="100">
        <f t="shared" si="13"/>
        <v>90.9</v>
      </c>
      <c r="H871" s="101"/>
      <c r="I871" s="100">
        <f>G871*H871</f>
        <v>0</v>
      </c>
      <c r="J871" s="39" t="s">
        <v>3336</v>
      </c>
      <c r="K871" s="40" t="s">
        <v>69</v>
      </c>
      <c r="L871" s="41"/>
      <c r="M871" s="42" t="str">
        <f>HYPERLINK("https://catalog.onliner.by/xmaslights/neonnight/nn255035", "https://catalog.onliner.by/xmaslights/neonnight/nn255035")</f>
        <v>https://catalog.onliner.by/xmaslights/neonnight/nn255035</v>
      </c>
      <c r="N871" s="42" t="str">
        <f>HYPERLINK("https://pronto.by/catalog/product/255-035.html", "https://pronto.by/catalog/product/255-035.html")</f>
        <v>https://pronto.by/catalog/product/255-035.html</v>
      </c>
    </row>
    <row r="872" spans="1:14" customFormat="1" ht="69">
      <c r="A872" s="35" t="s">
        <v>3926</v>
      </c>
      <c r="B872" s="19" t="s">
        <v>3927</v>
      </c>
      <c r="C872" s="20" t="s">
        <v>3928</v>
      </c>
      <c r="D872" s="36" t="s">
        <v>28</v>
      </c>
      <c r="E872" s="37" t="s">
        <v>3273</v>
      </c>
      <c r="F872" s="43">
        <v>86.399999999999991</v>
      </c>
      <c r="G872" s="100">
        <f t="shared" si="13"/>
        <v>86.4</v>
      </c>
      <c r="H872" s="101"/>
      <c r="I872" s="100">
        <f>G872*H872</f>
        <v>0</v>
      </c>
      <c r="J872" s="39" t="s">
        <v>3336</v>
      </c>
      <c r="K872" s="40" t="s">
        <v>41</v>
      </c>
      <c r="L872" s="41"/>
      <c r="M872" s="42" t="str">
        <f>HYPERLINK("https://catalog.onliner.by/xmaslights/neonnight/nn255037", "https://catalog.onliner.by/xmaslights/neonnight/nn255037")</f>
        <v>https://catalog.onliner.by/xmaslights/neonnight/nn255037</v>
      </c>
      <c r="N872" s="42" t="str">
        <f>HYPERLINK("https://pronto.by/catalog/product/255-037.html", "https://pronto.by/catalog/product/255-037.html")</f>
        <v>https://pronto.by/catalog/product/255-037.html</v>
      </c>
    </row>
    <row r="873" spans="1:14" customFormat="1" ht="91.8">
      <c r="A873" s="35" t="s">
        <v>1971</v>
      </c>
      <c r="B873" s="19" t="s">
        <v>1972</v>
      </c>
      <c r="C873" s="20" t="s">
        <v>3929</v>
      </c>
      <c r="D873" s="36" t="s">
        <v>28</v>
      </c>
      <c r="E873" s="37" t="s">
        <v>3307</v>
      </c>
      <c r="F873" s="43">
        <v>90.899999999999991</v>
      </c>
      <c r="G873" s="100">
        <f t="shared" si="13"/>
        <v>90.9</v>
      </c>
      <c r="H873" s="101"/>
      <c r="I873" s="100">
        <f>G873*H873</f>
        <v>0</v>
      </c>
      <c r="J873" s="39" t="s">
        <v>3336</v>
      </c>
      <c r="K873" s="40" t="s">
        <v>41</v>
      </c>
      <c r="L873" s="41"/>
      <c r="M873" s="42" t="str">
        <f>HYPERLINK("https://catalog.onliner.by/xmaslights/neonnight/nn255038", "https://catalog.onliner.by/xmaslights/neonnight/nn255038")</f>
        <v>https://catalog.onliner.by/xmaslights/neonnight/nn255038</v>
      </c>
      <c r="N873" s="42" t="str">
        <f>HYPERLINK("https://pronto.by/catalog/prazdnichnaya-svetotehnika/professional-professionalnye-proekty/girlyanda-bahroma-aysikl/bahroma-pvh/bahroma-pvh-24h06-m/255-038.html", "https://pronto.by/catalog/prazdnichnaya-svetotehnika/professional-professionalnye-proekty/girlyanda-bahroma-aysikl/bahroma-pvh/bahroma-pvh-24h06-m/255-038.html")</f>
        <v>https://pronto.by/catalog/prazdnichnaya-svetotehnika/professional-professionalnye-proekty/girlyanda-bahroma-aysikl/bahroma-pvh/bahroma-pvh-24h06-m/255-038.html</v>
      </c>
    </row>
    <row r="874" spans="1:14" customFormat="1" ht="82.8">
      <c r="A874" s="35" t="s">
        <v>1973</v>
      </c>
      <c r="B874" s="19" t="s">
        <v>1974</v>
      </c>
      <c r="C874" s="20" t="s">
        <v>1975</v>
      </c>
      <c r="D874" s="36" t="s">
        <v>28</v>
      </c>
      <c r="E874" s="37" t="s">
        <v>3273</v>
      </c>
      <c r="F874" s="43">
        <v>86.399999999999991</v>
      </c>
      <c r="G874" s="100">
        <f t="shared" si="13"/>
        <v>86.4</v>
      </c>
      <c r="H874" s="101"/>
      <c r="I874" s="100">
        <f>G874*H874</f>
        <v>0</v>
      </c>
      <c r="J874" s="39" t="s">
        <v>3336</v>
      </c>
      <c r="K874" s="40" t="s">
        <v>41</v>
      </c>
      <c r="L874" s="41"/>
      <c r="M874" s="42" t="str">
        <f>HYPERLINK("https://catalog.onliner.by/xmaslights/neonnight/255056255056", "https://catalog.onliner.by/xmaslights/neonnight/255056255056")</f>
        <v>https://catalog.onliner.by/xmaslights/neonnight/255056255056</v>
      </c>
      <c r="N874" s="42" t="str">
        <f>HYPERLINK("https://pronto.by/catalog/product/255-056.html", "https://pronto.by/catalog/product/255-056.html")</f>
        <v>https://pronto.by/catalog/product/255-056.html</v>
      </c>
    </row>
    <row r="875" spans="1:14" customFormat="1" ht="69">
      <c r="A875" s="35" t="s">
        <v>1976</v>
      </c>
      <c r="B875" s="19" t="s">
        <v>1977</v>
      </c>
      <c r="C875" s="20" t="s">
        <v>1978</v>
      </c>
      <c r="D875" s="36" t="s">
        <v>28</v>
      </c>
      <c r="E875" s="37" t="s">
        <v>3273</v>
      </c>
      <c r="F875" s="43">
        <v>86.399999999999991</v>
      </c>
      <c r="G875" s="100">
        <f t="shared" si="13"/>
        <v>86.4</v>
      </c>
      <c r="H875" s="101"/>
      <c r="I875" s="100">
        <f>G875*H875</f>
        <v>0</v>
      </c>
      <c r="J875" s="39" t="s">
        <v>3336</v>
      </c>
      <c r="K875" s="40" t="s">
        <v>69</v>
      </c>
      <c r="L875" s="41"/>
      <c r="M875" s="42" t="str">
        <f>HYPERLINK("https://catalog.onliner.by/xmaslights/neonnight/255046255046", "https://catalog.onliner.by/xmaslights/neonnight/255046255046")</f>
        <v>https://catalog.onliner.by/xmaslights/neonnight/255046255046</v>
      </c>
      <c r="N875" s="42" t="str">
        <f>HYPERLINK("https://pronto.by/catalog/product/255-046.html", "https://pronto.by/catalog/product/255-046.html")</f>
        <v>https://pronto.by/catalog/product/255-046.html</v>
      </c>
    </row>
    <row r="876" spans="1:14" customFormat="1" ht="15.6">
      <c r="A876" s="81" t="s">
        <v>3930</v>
      </c>
      <c r="B876" s="67"/>
      <c r="C876" s="67"/>
      <c r="D876" s="32"/>
      <c r="E876" s="32"/>
      <c r="F876" s="32"/>
      <c r="G876" s="52"/>
      <c r="H876" s="52"/>
      <c r="I876" s="52"/>
      <c r="J876" s="32"/>
      <c r="K876" s="32"/>
      <c r="L876" s="33"/>
      <c r="M876" s="33"/>
      <c r="N876" s="34"/>
    </row>
    <row r="877" spans="1:14" customFormat="1" ht="82.8">
      <c r="A877" s="35" t="s">
        <v>1979</v>
      </c>
      <c r="B877" s="19" t="s">
        <v>1980</v>
      </c>
      <c r="C877" s="20" t="s">
        <v>3931</v>
      </c>
      <c r="D877" s="36" t="s">
        <v>28</v>
      </c>
      <c r="E877" s="37" t="s">
        <v>3281</v>
      </c>
      <c r="F877" s="43">
        <v>147.29999999999998</v>
      </c>
      <c r="G877" s="100">
        <f t="shared" si="13"/>
        <v>147.30000000000001</v>
      </c>
      <c r="H877" s="101"/>
      <c r="I877" s="100">
        <f>G877*H877</f>
        <v>0</v>
      </c>
      <c r="J877" s="39" t="s">
        <v>3336</v>
      </c>
      <c r="K877" s="40" t="s">
        <v>69</v>
      </c>
      <c r="L877" s="41"/>
      <c r="M877" s="42" t="str">
        <f>HYPERLINK("https://catalog.onliner.by/xmaslights/neonnight/nn2551376", "https://catalog.onliner.by/xmaslights/neonnight/nn2551376")</f>
        <v>https://catalog.onliner.by/xmaslights/neonnight/nn2551376</v>
      </c>
      <c r="N877" s="42" t="str">
        <f>HYPERLINK("https://pronto.by/catalog/product/255-137-6.html", "https://pronto.by/catalog/product/255-137-6.html")</f>
        <v>https://pronto.by/catalog/product/255-137-6.html</v>
      </c>
    </row>
    <row r="878" spans="1:14" customFormat="1" ht="82.8">
      <c r="A878" s="35" t="s">
        <v>1981</v>
      </c>
      <c r="B878" s="19" t="s">
        <v>1982</v>
      </c>
      <c r="C878" s="20" t="s">
        <v>3932</v>
      </c>
      <c r="D878" s="36" t="s">
        <v>28</v>
      </c>
      <c r="E878" s="37" t="s">
        <v>3273</v>
      </c>
      <c r="F878" s="43">
        <v>151.13999999999999</v>
      </c>
      <c r="G878" s="100">
        <f t="shared" si="13"/>
        <v>151.13999999999999</v>
      </c>
      <c r="H878" s="101"/>
      <c r="I878" s="100">
        <f>G878*H878</f>
        <v>0</v>
      </c>
      <c r="J878" s="39" t="s">
        <v>3336</v>
      </c>
      <c r="K878" s="40" t="s">
        <v>69</v>
      </c>
      <c r="L878" s="41"/>
      <c r="M878" s="42" t="str">
        <f>HYPERLINK("https://catalog.onliner.by/xmaslights/neonnight/nn2551366", "https://catalog.onliner.by/xmaslights/neonnight/nn2551366")</f>
        <v>https://catalog.onliner.by/xmaslights/neonnight/nn2551366</v>
      </c>
      <c r="N878" s="42" t="str">
        <f>HYPERLINK("https://pronto.by/catalog/product/255-136-6.html", "https://pronto.by/catalog/product/255-136-6.html")</f>
        <v>https://pronto.by/catalog/product/255-136-6.html</v>
      </c>
    </row>
    <row r="879" spans="1:14" customFormat="1" ht="82.8">
      <c r="A879" s="35" t="s">
        <v>1983</v>
      </c>
      <c r="B879" s="19" t="s">
        <v>1984</v>
      </c>
      <c r="C879" s="20" t="s">
        <v>3933</v>
      </c>
      <c r="D879" s="36" t="s">
        <v>28</v>
      </c>
      <c r="E879" s="37" t="s">
        <v>3273</v>
      </c>
      <c r="F879" s="43">
        <v>151.13999999999999</v>
      </c>
      <c r="G879" s="100">
        <f t="shared" si="13"/>
        <v>151.13999999999999</v>
      </c>
      <c r="H879" s="101"/>
      <c r="I879" s="100">
        <f>G879*H879</f>
        <v>0</v>
      </c>
      <c r="J879" s="39" t="s">
        <v>3336</v>
      </c>
      <c r="K879" s="40" t="s">
        <v>41</v>
      </c>
      <c r="L879" s="41"/>
      <c r="M879" s="42" t="str">
        <f>HYPERLINK("https://catalog.onliner.by/xmaslights/neonnight/nn2551386", "https://catalog.onliner.by/xmaslights/neonnight/nn2551386")</f>
        <v>https://catalog.onliner.by/xmaslights/neonnight/nn2551386</v>
      </c>
      <c r="N879" s="42" t="str">
        <f>HYPERLINK("https://pronto.by/catalog/product/255-138-6.html", "https://pronto.by/catalog/product/255-138-6.html")</f>
        <v>https://pronto.by/catalog/product/255-138-6.html</v>
      </c>
    </row>
    <row r="880" spans="1:14" customFormat="1" ht="82.8">
      <c r="A880" s="35" t="s">
        <v>1985</v>
      </c>
      <c r="B880" s="19" t="s">
        <v>1986</v>
      </c>
      <c r="C880" s="20" t="s">
        <v>1987</v>
      </c>
      <c r="D880" s="36" t="s">
        <v>28</v>
      </c>
      <c r="E880" s="37" t="s">
        <v>3273</v>
      </c>
      <c r="F880" s="43">
        <v>321.59999999999997</v>
      </c>
      <c r="G880" s="100">
        <f t="shared" si="13"/>
        <v>321.60000000000002</v>
      </c>
      <c r="H880" s="101"/>
      <c r="I880" s="100">
        <f>G880*H880</f>
        <v>0</v>
      </c>
      <c r="J880" s="39" t="s">
        <v>3336</v>
      </c>
      <c r="K880" s="40" t="s">
        <v>69</v>
      </c>
      <c r="L880" s="41"/>
      <c r="M880" s="42" t="str">
        <f>HYPERLINK("https://catalog.onliner.by/xmaslights/neonnight/245209245209", "https://catalog.onliner.by/xmaslights/neonnight/245209245209")</f>
        <v>https://catalog.onliner.by/xmaslights/neonnight/245209245209</v>
      </c>
      <c r="N880" s="42" t="str">
        <f>HYPERLINK("https://pronto.by/catalog/product/245-209.html", "https://pronto.by/catalog/product/245-209.html")</f>
        <v>https://pronto.by/catalog/product/245-209.html</v>
      </c>
    </row>
    <row r="881" spans="1:14" customFormat="1" ht="91.8">
      <c r="A881" s="35" t="s">
        <v>1988</v>
      </c>
      <c r="B881" s="19" t="s">
        <v>1989</v>
      </c>
      <c r="C881" s="20" t="s">
        <v>1990</v>
      </c>
      <c r="D881" s="36" t="s">
        <v>28</v>
      </c>
      <c r="E881" s="37" t="s">
        <v>3281</v>
      </c>
      <c r="F881" s="43">
        <v>321.59999999999997</v>
      </c>
      <c r="G881" s="100">
        <f t="shared" si="13"/>
        <v>321.60000000000002</v>
      </c>
      <c r="H881" s="101"/>
      <c r="I881" s="100">
        <f>G881*H881</f>
        <v>0</v>
      </c>
      <c r="J881" s="39" t="s">
        <v>3336</v>
      </c>
      <c r="K881" s="40" t="s">
        <v>69</v>
      </c>
      <c r="L881" s="41"/>
      <c r="M881" s="42" t="str">
        <f>HYPERLINK("https://catalog.onliner.by/xmaslights/neonnight/neon245208", "https://catalog.onliner.by/xmaslights/neonnight/neon245208")</f>
        <v>https://catalog.onliner.by/xmaslights/neonnight/neon245208</v>
      </c>
      <c r="N881" s="42" t="str">
        <f>HYPERLINK("https://pronto.by/catalog/prazdnichnaya-svetotehnika/professional-professionalnye-proekty/girlyanda-bahroma-aysikl/bahroma-pvh/bahroma-pvh-48h06-m/245-208.html", "https://pronto.by/catalog/prazdnichnaya-svetotehnika/professional-professionalnye-proekty/girlyanda-bahroma-aysikl/bahroma-pvh/bahroma-pvh-48h06-m/245-208.html")</f>
        <v>https://pronto.by/catalog/prazdnichnaya-svetotehnika/professional-professionalnye-proekty/girlyanda-bahroma-aysikl/bahroma-pvh/bahroma-pvh-48h06-m/245-208.html</v>
      </c>
    </row>
    <row r="882" spans="1:14" customFormat="1" ht="82.8">
      <c r="A882" s="35" t="s">
        <v>1991</v>
      </c>
      <c r="B882" s="19" t="s">
        <v>1992</v>
      </c>
      <c r="C882" s="20" t="s">
        <v>1993</v>
      </c>
      <c r="D882" s="36" t="s">
        <v>28</v>
      </c>
      <c r="E882" s="37" t="s">
        <v>3291</v>
      </c>
      <c r="F882" s="43">
        <v>181.44000000000003</v>
      </c>
      <c r="G882" s="100">
        <f t="shared" si="13"/>
        <v>181.44</v>
      </c>
      <c r="H882" s="101"/>
      <c r="I882" s="100">
        <f>G882*H882</f>
        <v>0</v>
      </c>
      <c r="J882" s="39" t="s">
        <v>3336</v>
      </c>
      <c r="K882" s="40" t="s">
        <v>69</v>
      </c>
      <c r="L882" s="41"/>
      <c r="M882" s="42" t="str">
        <f>HYPERLINK("https://catalog.onliner.by/xmaslights/neonnight/nn255137", "https://catalog.onliner.by/xmaslights/neonnight/nn255137")</f>
        <v>https://catalog.onliner.by/xmaslights/neonnight/nn255137</v>
      </c>
      <c r="N882" s="42" t="str">
        <f>HYPERLINK("https://pronto.by/catalog/product/255-137.html", "https://pronto.by/catalog/product/255-137.html")</f>
        <v>https://pronto.by/catalog/product/255-137.html</v>
      </c>
    </row>
    <row r="883" spans="1:14" customFormat="1" ht="69">
      <c r="A883" s="35" t="s">
        <v>1994</v>
      </c>
      <c r="B883" s="19" t="s">
        <v>1995</v>
      </c>
      <c r="C883" s="20" t="s">
        <v>3934</v>
      </c>
      <c r="D883" s="36" t="s">
        <v>28</v>
      </c>
      <c r="E883" s="37" t="s">
        <v>3291</v>
      </c>
      <c r="F883" s="43">
        <v>192.84</v>
      </c>
      <c r="G883" s="100">
        <f t="shared" si="13"/>
        <v>192.84</v>
      </c>
      <c r="H883" s="101"/>
      <c r="I883" s="100">
        <f>G883*H883</f>
        <v>0</v>
      </c>
      <c r="J883" s="39" t="s">
        <v>3336</v>
      </c>
      <c r="K883" s="40" t="s">
        <v>69</v>
      </c>
      <c r="L883" s="41"/>
      <c r="M883" s="42" t="str">
        <f>HYPERLINK("https://catalog.onliner.by/xmaslights/neonnight/255165", "https://catalog.onliner.by/xmaslights/neonnight/255165")</f>
        <v>https://catalog.onliner.by/xmaslights/neonnight/255165</v>
      </c>
      <c r="N883" s="42" t="str">
        <f>HYPERLINK("https://pronto.by/catalog/product/255-165.html", "https://pronto.by/catalog/product/255-165.html")</f>
        <v>https://pronto.by/catalog/product/255-165.html</v>
      </c>
    </row>
    <row r="884" spans="1:14" customFormat="1" ht="82.8">
      <c r="A884" s="35" t="s">
        <v>1996</v>
      </c>
      <c r="B884" s="19" t="s">
        <v>1997</v>
      </c>
      <c r="C884" s="20" t="s">
        <v>1998</v>
      </c>
      <c r="D884" s="36" t="s">
        <v>28</v>
      </c>
      <c r="E884" s="37" t="s">
        <v>3291</v>
      </c>
      <c r="F884" s="43">
        <v>181.44000000000003</v>
      </c>
      <c r="G884" s="100">
        <f t="shared" si="13"/>
        <v>181.44</v>
      </c>
      <c r="H884" s="101"/>
      <c r="I884" s="100">
        <f>G884*H884</f>
        <v>0</v>
      </c>
      <c r="J884" s="39" t="s">
        <v>3336</v>
      </c>
      <c r="K884" s="40" t="s">
        <v>69</v>
      </c>
      <c r="L884" s="41"/>
      <c r="M884" s="42" t="str">
        <f>HYPERLINK("https://catalog.onliner.by/xmaslights/neonnight/nn255145", "https://catalog.onliner.by/xmaslights/neonnight/nn255145")</f>
        <v>https://catalog.onliner.by/xmaslights/neonnight/nn255145</v>
      </c>
      <c r="N884" s="42" t="str">
        <f>HYPERLINK("https://pronto.by/catalog/product/255-145.html", "https://pronto.by/catalog/product/255-145.html")</f>
        <v>https://pronto.by/catalog/product/255-145.html</v>
      </c>
    </row>
    <row r="885" spans="1:14" customFormat="1" ht="82.8">
      <c r="A885" s="35" t="s">
        <v>1999</v>
      </c>
      <c r="B885" s="19" t="s">
        <v>2000</v>
      </c>
      <c r="C885" s="20" t="s">
        <v>2001</v>
      </c>
      <c r="D885" s="36" t="s">
        <v>28</v>
      </c>
      <c r="E885" s="37" t="s">
        <v>3273</v>
      </c>
      <c r="F885" s="43">
        <v>181.44000000000003</v>
      </c>
      <c r="G885" s="100">
        <f t="shared" si="13"/>
        <v>181.44</v>
      </c>
      <c r="H885" s="101"/>
      <c r="I885" s="100">
        <f>G885*H885</f>
        <v>0</v>
      </c>
      <c r="J885" s="39" t="s">
        <v>3336</v>
      </c>
      <c r="K885" s="40" t="s">
        <v>69</v>
      </c>
      <c r="L885" s="41"/>
      <c r="M885" s="42" t="str">
        <f>HYPERLINK("https://catalog.onliner.by/xmaslights/neonnight/nn255135", "https://catalog.onliner.by/xmaslights/neonnight/nn255135")</f>
        <v>https://catalog.onliner.by/xmaslights/neonnight/nn255135</v>
      </c>
      <c r="N885" s="42" t="str">
        <f>HYPERLINK("https://pronto.by/catalog/product/255-135.html", "https://pronto.by/catalog/product/255-135.html")</f>
        <v>https://pronto.by/catalog/product/255-135.html</v>
      </c>
    </row>
    <row r="886" spans="1:14" customFormat="1" ht="69">
      <c r="A886" s="35" t="s">
        <v>2002</v>
      </c>
      <c r="B886" s="19" t="s">
        <v>2003</v>
      </c>
      <c r="C886" s="20" t="s">
        <v>2004</v>
      </c>
      <c r="D886" s="36" t="s">
        <v>28</v>
      </c>
      <c r="E886" s="37" t="s">
        <v>3273</v>
      </c>
      <c r="F886" s="43">
        <v>192.84</v>
      </c>
      <c r="G886" s="100">
        <f t="shared" si="13"/>
        <v>192.84</v>
      </c>
      <c r="H886" s="101"/>
      <c r="I886" s="100">
        <f>G886*H886</f>
        <v>0</v>
      </c>
      <c r="J886" s="39" t="s">
        <v>3336</v>
      </c>
      <c r="K886" s="40" t="s">
        <v>69</v>
      </c>
      <c r="L886" s="41"/>
      <c r="M886" s="42" t="str">
        <f>HYPERLINK("https://catalog.onliner.by/xmaslights/neonnight/nn255175", "https://catalog.onliner.by/xmaslights/neonnight/nn255175")</f>
        <v>https://catalog.onliner.by/xmaslights/neonnight/nn255175</v>
      </c>
      <c r="N886" s="42" t="str">
        <f>HYPERLINK("https://pronto.by/catalog/product/255-175.html", "https://pronto.by/catalog/product/255-175.html")</f>
        <v>https://pronto.by/catalog/product/255-175.html</v>
      </c>
    </row>
    <row r="887" spans="1:14" customFormat="1" ht="69">
      <c r="A887" s="35" t="s">
        <v>3935</v>
      </c>
      <c r="B887" s="19" t="s">
        <v>3936</v>
      </c>
      <c r="C887" s="20" t="s">
        <v>3937</v>
      </c>
      <c r="D887" s="36" t="s">
        <v>28</v>
      </c>
      <c r="E887" s="37" t="s">
        <v>3273</v>
      </c>
      <c r="F887" s="43">
        <v>192.84</v>
      </c>
      <c r="G887" s="100">
        <f t="shared" si="13"/>
        <v>192.84</v>
      </c>
      <c r="H887" s="101"/>
      <c r="I887" s="100">
        <f>G887*H887</f>
        <v>0</v>
      </c>
      <c r="J887" s="39" t="s">
        <v>3336</v>
      </c>
      <c r="K887" s="40" t="s">
        <v>69</v>
      </c>
      <c r="L887" s="41"/>
      <c r="M887" s="42" t="str">
        <f>HYPERLINK("https://catalog.onliner.by/xmaslights/neonnight/255161", "https://catalog.onliner.by/xmaslights/neonnight/255161")</f>
        <v>https://catalog.onliner.by/xmaslights/neonnight/255161</v>
      </c>
      <c r="N887" s="42" t="str">
        <f>HYPERLINK("https://pronto.by/catalog/product/255-161.html", "https://pronto.by/catalog/product/255-161.html")</f>
        <v>https://pronto.by/catalog/product/255-161.html</v>
      </c>
    </row>
    <row r="888" spans="1:14" customFormat="1" ht="82.8">
      <c r="A888" s="35" t="s">
        <v>3938</v>
      </c>
      <c r="B888" s="19" t="s">
        <v>3939</v>
      </c>
      <c r="C888" s="20" t="s">
        <v>3940</v>
      </c>
      <c r="D888" s="36" t="s">
        <v>28</v>
      </c>
      <c r="E888" s="37" t="s">
        <v>3273</v>
      </c>
      <c r="F888" s="43">
        <v>181.44000000000003</v>
      </c>
      <c r="G888" s="100">
        <f t="shared" si="13"/>
        <v>181.44</v>
      </c>
      <c r="H888" s="101"/>
      <c r="I888" s="100">
        <f>G888*H888</f>
        <v>0</v>
      </c>
      <c r="J888" s="39" t="s">
        <v>3336</v>
      </c>
      <c r="K888" s="40" t="s">
        <v>69</v>
      </c>
      <c r="L888" s="41"/>
      <c r="M888" s="42" t="str">
        <f>HYPERLINK("https://catalog.onliner.by/xmaslights/neonnight/nn255141", "https://catalog.onliner.by/xmaslights/neonnight/nn255141")</f>
        <v>https://catalog.onliner.by/xmaslights/neonnight/nn255141</v>
      </c>
      <c r="N888" s="42" t="str">
        <f>HYPERLINK("https://pronto.by/catalog/product/255-141.html", "https://pronto.by/catalog/product/255-141.html")</f>
        <v>https://pronto.by/catalog/product/255-141.html</v>
      </c>
    </row>
    <row r="889" spans="1:14" customFormat="1" ht="82.8">
      <c r="A889" s="35" t="s">
        <v>2005</v>
      </c>
      <c r="B889" s="19" t="s">
        <v>2006</v>
      </c>
      <c r="C889" s="20" t="s">
        <v>2007</v>
      </c>
      <c r="D889" s="36" t="s">
        <v>28</v>
      </c>
      <c r="E889" s="37" t="s">
        <v>3281</v>
      </c>
      <c r="F889" s="43">
        <v>181.44000000000003</v>
      </c>
      <c r="G889" s="100">
        <f t="shared" si="13"/>
        <v>181.44</v>
      </c>
      <c r="H889" s="101"/>
      <c r="I889" s="100">
        <f>G889*H889</f>
        <v>0</v>
      </c>
      <c r="J889" s="39" t="s">
        <v>3336</v>
      </c>
      <c r="K889" s="40" t="s">
        <v>69</v>
      </c>
      <c r="L889" s="41"/>
      <c r="M889" s="42" t="str">
        <f>HYPERLINK("https://catalog.onliner.by/xmaslights/neonnight/nn255131", "https://catalog.onliner.by/xmaslights/neonnight/nn255131")</f>
        <v>https://catalog.onliner.by/xmaslights/neonnight/nn255131</v>
      </c>
      <c r="N889" s="42" t="str">
        <f>HYPERLINK("https://pronto.by/catalog/product/255-131.html", "https://pronto.by/catalog/product/255-131.html")</f>
        <v>https://pronto.by/catalog/product/255-131.html</v>
      </c>
    </row>
    <row r="890" spans="1:14" customFormat="1" ht="69">
      <c r="A890" s="35" t="s">
        <v>2008</v>
      </c>
      <c r="B890" s="19" t="s">
        <v>2009</v>
      </c>
      <c r="C890" s="20" t="s">
        <v>2010</v>
      </c>
      <c r="D890" s="36" t="s">
        <v>28</v>
      </c>
      <c r="E890" s="37" t="s">
        <v>3273</v>
      </c>
      <c r="F890" s="43">
        <v>192.84</v>
      </c>
      <c r="G890" s="100">
        <f t="shared" si="13"/>
        <v>192.84</v>
      </c>
      <c r="H890" s="101"/>
      <c r="I890" s="100">
        <f>G890*H890</f>
        <v>0</v>
      </c>
      <c r="J890" s="39" t="s">
        <v>3336</v>
      </c>
      <c r="K890" s="40" t="s">
        <v>69</v>
      </c>
      <c r="L890" s="41"/>
      <c r="M890" s="42" t="str">
        <f>HYPERLINK("https://catalog.onliner.by/xmaslights/neonnight/255164", "https://catalog.onliner.by/xmaslights/neonnight/255164")</f>
        <v>https://catalog.onliner.by/xmaslights/neonnight/255164</v>
      </c>
      <c r="N890" s="42" t="str">
        <f>HYPERLINK("https://pronto.by/catalog/product/255-164.html", "https://pronto.by/catalog/product/255-164.html")</f>
        <v>https://pronto.by/catalog/product/255-164.html</v>
      </c>
    </row>
    <row r="891" spans="1:14" customFormat="1" ht="82.8">
      <c r="A891" s="35" t="s">
        <v>2011</v>
      </c>
      <c r="B891" s="19" t="s">
        <v>2012</v>
      </c>
      <c r="C891" s="20" t="s">
        <v>2013</v>
      </c>
      <c r="D891" s="36" t="s">
        <v>28</v>
      </c>
      <c r="E891" s="37" t="s">
        <v>3273</v>
      </c>
      <c r="F891" s="43">
        <v>181.44000000000003</v>
      </c>
      <c r="G891" s="100">
        <f t="shared" si="13"/>
        <v>181.44</v>
      </c>
      <c r="H891" s="101"/>
      <c r="I891" s="100">
        <f>G891*H891</f>
        <v>0</v>
      </c>
      <c r="J891" s="39" t="s">
        <v>3336</v>
      </c>
      <c r="K891" s="40" t="s">
        <v>69</v>
      </c>
      <c r="L891" s="41"/>
      <c r="M891" s="42" t="str">
        <f>HYPERLINK("https://catalog.onliner.by/xmaslights/neonnight/nn255136", "https://catalog.onliner.by/xmaslights/neonnight/nn255136")</f>
        <v>https://catalog.onliner.by/xmaslights/neonnight/nn255136</v>
      </c>
      <c r="N891" s="42" t="str">
        <f>HYPERLINK("https://pronto.by/catalog/product/255-136.html", "https://pronto.by/catalog/product/255-136.html")</f>
        <v>https://pronto.by/catalog/product/255-136.html</v>
      </c>
    </row>
    <row r="892" spans="1:14" customFormat="1" ht="69">
      <c r="A892" s="35" t="s">
        <v>2014</v>
      </c>
      <c r="B892" s="19" t="s">
        <v>2015</v>
      </c>
      <c r="C892" s="20" t="s">
        <v>2016</v>
      </c>
      <c r="D892" s="36" t="s">
        <v>28</v>
      </c>
      <c r="E892" s="37" t="s">
        <v>3273</v>
      </c>
      <c r="F892" s="43">
        <v>192.84</v>
      </c>
      <c r="G892" s="100">
        <f t="shared" si="13"/>
        <v>192.84</v>
      </c>
      <c r="H892" s="101"/>
      <c r="I892" s="100">
        <f>G892*H892</f>
        <v>0</v>
      </c>
      <c r="J892" s="39" t="s">
        <v>3336</v>
      </c>
      <c r="K892" s="40" t="s">
        <v>69</v>
      </c>
      <c r="L892" s="41"/>
      <c r="M892" s="42" t="str">
        <f>HYPERLINK("https://catalog.onliner.by/xmaslights/neonnight/255163", "https://catalog.onliner.by/xmaslights/neonnight/255163")</f>
        <v>https://catalog.onliner.by/xmaslights/neonnight/255163</v>
      </c>
      <c r="N892" s="42" t="str">
        <f>HYPERLINK("https://pronto.by/catalog/product/255-163.html", "https://pronto.by/catalog/product/255-163.html")</f>
        <v>https://pronto.by/catalog/product/255-163.html</v>
      </c>
    </row>
    <row r="893" spans="1:14" customFormat="1" ht="82.8">
      <c r="A893" s="35" t="s">
        <v>2017</v>
      </c>
      <c r="B893" s="19" t="s">
        <v>2018</v>
      </c>
      <c r="C893" s="20" t="s">
        <v>2019</v>
      </c>
      <c r="D893" s="36" t="s">
        <v>28</v>
      </c>
      <c r="E893" s="37" t="s">
        <v>3273</v>
      </c>
      <c r="F893" s="43">
        <v>181.44000000000003</v>
      </c>
      <c r="G893" s="100">
        <f t="shared" si="13"/>
        <v>181.44</v>
      </c>
      <c r="H893" s="101"/>
      <c r="I893" s="100">
        <f>G893*H893</f>
        <v>0</v>
      </c>
      <c r="J893" s="39" t="s">
        <v>3336</v>
      </c>
      <c r="K893" s="40" t="s">
        <v>69</v>
      </c>
      <c r="L893" s="41"/>
      <c r="M893" s="42" t="str">
        <f>HYPERLINK("https://catalog.onliner.by/xmaslights/neonnight/nn255143", "https://catalog.onliner.by/xmaslights/neonnight/nn255143")</f>
        <v>https://catalog.onliner.by/xmaslights/neonnight/nn255143</v>
      </c>
      <c r="N893" s="42" t="str">
        <f>HYPERLINK("https://pronto.by/catalog/product/255-143.html", "https://pronto.by/catalog/product/255-143.html")</f>
        <v>https://pronto.by/catalog/product/255-143.html</v>
      </c>
    </row>
    <row r="894" spans="1:14" customFormat="1" ht="82.8">
      <c r="A894" s="35" t="s">
        <v>2020</v>
      </c>
      <c r="B894" s="19" t="s">
        <v>2021</v>
      </c>
      <c r="C894" s="20" t="s">
        <v>2022</v>
      </c>
      <c r="D894" s="36" t="s">
        <v>28</v>
      </c>
      <c r="E894" s="37" t="s">
        <v>3281</v>
      </c>
      <c r="F894" s="43">
        <v>181.44000000000003</v>
      </c>
      <c r="G894" s="100">
        <f t="shared" si="13"/>
        <v>181.44</v>
      </c>
      <c r="H894" s="101"/>
      <c r="I894" s="100">
        <f>G894*H894</f>
        <v>0</v>
      </c>
      <c r="J894" s="39" t="s">
        <v>3336</v>
      </c>
      <c r="K894" s="40" t="s">
        <v>69</v>
      </c>
      <c r="L894" s="41"/>
      <c r="M894" s="42" t="str">
        <f>HYPERLINK("https://catalog.onliner.by/xmaslights/neonnight/nn255133", "https://catalog.onliner.by/xmaslights/neonnight/nn255133")</f>
        <v>https://catalog.onliner.by/xmaslights/neonnight/nn255133</v>
      </c>
      <c r="N894" s="42" t="str">
        <f>HYPERLINK("https://pronto.by/catalog/product/255-133.html", "https://pronto.by/catalog/product/255-133.html")</f>
        <v>https://pronto.by/catalog/product/255-133.html</v>
      </c>
    </row>
    <row r="895" spans="1:14" customFormat="1" ht="91.8">
      <c r="A895" s="35" t="s">
        <v>2023</v>
      </c>
      <c r="B895" s="19" t="s">
        <v>2024</v>
      </c>
      <c r="C895" s="20" t="s">
        <v>3941</v>
      </c>
      <c r="D895" s="36" t="s">
        <v>28</v>
      </c>
      <c r="E895" s="37" t="s">
        <v>3281</v>
      </c>
      <c r="F895" s="43">
        <v>192.84</v>
      </c>
      <c r="G895" s="100">
        <f t="shared" si="13"/>
        <v>192.84</v>
      </c>
      <c r="H895" s="101"/>
      <c r="I895" s="100">
        <f>G895*H895</f>
        <v>0</v>
      </c>
      <c r="J895" s="39" t="s">
        <v>3336</v>
      </c>
      <c r="K895" s="40" t="s">
        <v>69</v>
      </c>
      <c r="L895" s="41"/>
      <c r="M895" s="42" t="str">
        <f>HYPERLINK("https://catalog.onliner.by/xmaslights/neonnight/neon255173", "https://catalog.onliner.by/xmaslights/neonnight/neon255173")</f>
        <v>https://catalog.onliner.by/xmaslights/neonnight/neon255173</v>
      </c>
      <c r="N895" s="42" t="str">
        <f>HYPERLINK("https://pronto.by/catalog/prazdnichnaya-svetotehnika/professional-professionalnye-proekty/girlyanda-bahroma-aysikl/bahroma-pvh/bahroma-pvh-48h06-m/255-173.html", "https://pronto.by/catalog/prazdnichnaya-svetotehnika/professional-professionalnye-proekty/girlyanda-bahroma-aysikl/bahroma-pvh/bahroma-pvh-48h06-m/255-173.html")</f>
        <v>https://pronto.by/catalog/prazdnichnaya-svetotehnika/professional-professionalnye-proekty/girlyanda-bahroma-aysikl/bahroma-pvh/bahroma-pvh-48h06-m/255-173.html</v>
      </c>
    </row>
    <row r="896" spans="1:14" customFormat="1" ht="82.8">
      <c r="A896" s="35" t="s">
        <v>3942</v>
      </c>
      <c r="B896" s="19" t="s">
        <v>3943</v>
      </c>
      <c r="C896" s="20" t="s">
        <v>3944</v>
      </c>
      <c r="D896" s="36" t="s">
        <v>28</v>
      </c>
      <c r="E896" s="37" t="s">
        <v>3273</v>
      </c>
      <c r="F896" s="43">
        <v>181.44000000000003</v>
      </c>
      <c r="G896" s="100">
        <f t="shared" si="13"/>
        <v>181.44</v>
      </c>
      <c r="H896" s="101"/>
      <c r="I896" s="100">
        <f>G896*H896</f>
        <v>0</v>
      </c>
      <c r="J896" s="39" t="s">
        <v>3336</v>
      </c>
      <c r="K896" s="40" t="s">
        <v>69</v>
      </c>
      <c r="L896" s="41"/>
      <c r="M896" s="42" t="str">
        <f>HYPERLINK("https://catalog.onliner.by/xmaslights/neonnight/nn255138", "https://catalog.onliner.by/xmaslights/neonnight/nn255138")</f>
        <v>https://catalog.onliner.by/xmaslights/neonnight/nn255138</v>
      </c>
      <c r="N896" s="42" t="str">
        <f>HYPERLINK("https://pronto.by/catalog/product/255-138.html", "https://pronto.by/catalog/product/255-138.html")</f>
        <v>https://pronto.by/catalog/product/255-138.html</v>
      </c>
    </row>
    <row r="897" spans="1:14" customFormat="1" ht="82.8">
      <c r="A897" s="35" t="s">
        <v>2025</v>
      </c>
      <c r="B897" s="19" t="s">
        <v>2026</v>
      </c>
      <c r="C897" s="20" t="s">
        <v>3945</v>
      </c>
      <c r="D897" s="36" t="s">
        <v>28</v>
      </c>
      <c r="E897" s="37" t="s">
        <v>3273</v>
      </c>
      <c r="F897" s="43">
        <v>192.84</v>
      </c>
      <c r="G897" s="100">
        <f t="shared" si="13"/>
        <v>192.84</v>
      </c>
      <c r="H897" s="101"/>
      <c r="I897" s="100">
        <f>G897*H897</f>
        <v>0</v>
      </c>
      <c r="J897" s="39" t="s">
        <v>3336</v>
      </c>
      <c r="K897" s="40" t="s">
        <v>69</v>
      </c>
      <c r="L897" s="41"/>
      <c r="M897" s="42" t="str">
        <f>HYPERLINK("https://catalog.onliner.by/xmaslights/neonnight/255166", "https://catalog.onliner.by/xmaslights/neonnight/255166")</f>
        <v>https://catalog.onliner.by/xmaslights/neonnight/255166</v>
      </c>
      <c r="N897" s="42" t="str">
        <f>HYPERLINK("https://pronto.by/catalog/product/255-166.html", "https://pronto.by/catalog/product/255-166.html")</f>
        <v>https://pronto.by/catalog/product/255-166.html</v>
      </c>
    </row>
    <row r="898" spans="1:14" customFormat="1" ht="82.8">
      <c r="A898" s="35" t="s">
        <v>2027</v>
      </c>
      <c r="B898" s="19" t="s">
        <v>2028</v>
      </c>
      <c r="C898" s="20" t="s">
        <v>2029</v>
      </c>
      <c r="D898" s="36" t="s">
        <v>28</v>
      </c>
      <c r="E898" s="37" t="s">
        <v>3273</v>
      </c>
      <c r="F898" s="43">
        <v>181.44000000000003</v>
      </c>
      <c r="G898" s="100">
        <f t="shared" si="13"/>
        <v>181.44</v>
      </c>
      <c r="H898" s="101"/>
      <c r="I898" s="100">
        <f>G898*H898</f>
        <v>0</v>
      </c>
      <c r="J898" s="39" t="s">
        <v>3336</v>
      </c>
      <c r="K898" s="40" t="s">
        <v>69</v>
      </c>
      <c r="L898" s="41"/>
      <c r="M898" s="42" t="str">
        <f>HYPERLINK("https://catalog.onliner.by/xmaslights/neonnight/nn255146", "https://catalog.onliner.by/xmaslights/neonnight/nn255146")</f>
        <v>https://catalog.onliner.by/xmaslights/neonnight/nn255146</v>
      </c>
      <c r="N898" s="42" t="str">
        <f>HYPERLINK("https://pronto.by/catalog/product/255-146.html", "https://pronto.by/catalog/product/255-146.html")</f>
        <v>https://pronto.by/catalog/product/255-146.html</v>
      </c>
    </row>
    <row r="899" spans="1:14" customFormat="1" ht="82.8">
      <c r="A899" s="35" t="s">
        <v>2030</v>
      </c>
      <c r="B899" s="19" t="s">
        <v>2031</v>
      </c>
      <c r="C899" s="20" t="s">
        <v>2032</v>
      </c>
      <c r="D899" s="36" t="s">
        <v>28</v>
      </c>
      <c r="E899" s="37" t="s">
        <v>3273</v>
      </c>
      <c r="F899" s="43">
        <v>181.44000000000003</v>
      </c>
      <c r="G899" s="100">
        <f t="shared" si="13"/>
        <v>181.44</v>
      </c>
      <c r="H899" s="101"/>
      <c r="I899" s="100">
        <f>G899*H899</f>
        <v>0</v>
      </c>
      <c r="J899" s="39" t="s">
        <v>3336</v>
      </c>
      <c r="K899" s="40" t="s">
        <v>69</v>
      </c>
      <c r="L899" s="41"/>
      <c r="M899" s="42" t="str">
        <f>HYPERLINK("https://catalog.onliner.by/xmaslights/neonnight/255156255156", "https://catalog.onliner.by/xmaslights/neonnight/255156255156")</f>
        <v>https://catalog.onliner.by/xmaslights/neonnight/255156255156</v>
      </c>
      <c r="N899" s="42" t="str">
        <f>HYPERLINK("https://pronto.by/catalog/product/255-156.html", "https://pronto.by/catalog/product/255-156.html")</f>
        <v>https://pronto.by/catalog/product/255-156.html</v>
      </c>
    </row>
    <row r="900" spans="1:14" customFormat="1" ht="82.8">
      <c r="A900" s="35" t="s">
        <v>2033</v>
      </c>
      <c r="B900" s="19" t="s">
        <v>2034</v>
      </c>
      <c r="C900" s="20" t="s">
        <v>2035</v>
      </c>
      <c r="D900" s="36" t="s">
        <v>28</v>
      </c>
      <c r="E900" s="37" t="s">
        <v>3273</v>
      </c>
      <c r="F900" s="43">
        <v>192.84</v>
      </c>
      <c r="G900" s="100">
        <f t="shared" si="13"/>
        <v>192.84</v>
      </c>
      <c r="H900" s="101"/>
      <c r="I900" s="100">
        <f>G900*H900</f>
        <v>0</v>
      </c>
      <c r="J900" s="39" t="s">
        <v>3336</v>
      </c>
      <c r="K900" s="40" t="s">
        <v>69</v>
      </c>
      <c r="L900" s="41"/>
      <c r="M900" s="42" t="str">
        <f>HYPERLINK("https://catalog.onliner.by/xmaslights/neonnight/nn255176", "https://catalog.onliner.by/xmaslights/neonnight/nn255176")</f>
        <v>https://catalog.onliner.by/xmaslights/neonnight/nn255176</v>
      </c>
      <c r="N900" s="42" t="str">
        <f>HYPERLINK("https://pronto.by/catalog/product/255-176.html", "https://pronto.by/catalog/product/255-176.html")</f>
        <v>https://pronto.by/catalog/product/255-176.html</v>
      </c>
    </row>
    <row r="901" spans="1:14" customFormat="1" ht="91.8">
      <c r="A901" s="45" t="s">
        <v>2036</v>
      </c>
      <c r="B901" s="46" t="s">
        <v>2037</v>
      </c>
      <c r="C901" s="54" t="s">
        <v>2038</v>
      </c>
      <c r="D901" s="47" t="s">
        <v>28</v>
      </c>
      <c r="E901" s="48" t="s">
        <v>3274</v>
      </c>
      <c r="F901" s="43">
        <v>192.84</v>
      </c>
      <c r="G901" s="100">
        <f t="shared" si="13"/>
        <v>192.84</v>
      </c>
      <c r="H901" s="101"/>
      <c r="I901" s="100">
        <f>G901*H901</f>
        <v>0</v>
      </c>
      <c r="J901" s="39" t="s">
        <v>3336</v>
      </c>
      <c r="K901" s="40" t="s">
        <v>69</v>
      </c>
      <c r="L901" s="41"/>
      <c r="M901" s="42" t="s">
        <v>3946</v>
      </c>
      <c r="N901" s="42" t="str">
        <f>HYPERLINK("https://pronto.by/catalog/prazdnichnaya-svetotehnika/professional-professionalnye-proekty/girlyanda-bahroma-aysikl/bahroma-pvh/bahroma-pvh-48h06-m/255-185.html", "https://pronto.by/catalog/prazdnichnaya-svetotehnika/professional-professionalnye-proekty/girlyanda-bahroma-aysikl/bahroma-pvh/bahroma-pvh-48h06-m/255-185.html")</f>
        <v>https://pronto.by/catalog/prazdnichnaya-svetotehnika/professional-professionalnye-proekty/girlyanda-bahroma-aysikl/bahroma-pvh/bahroma-pvh-48h06-m/255-185.html</v>
      </c>
    </row>
    <row r="902" spans="1:14" customFormat="1" ht="91.8">
      <c r="A902" s="45" t="s">
        <v>2039</v>
      </c>
      <c r="B902" s="46" t="s">
        <v>2040</v>
      </c>
      <c r="C902" s="54" t="s">
        <v>2041</v>
      </c>
      <c r="D902" s="47" t="s">
        <v>28</v>
      </c>
      <c r="E902" s="48" t="s">
        <v>3308</v>
      </c>
      <c r="F902" s="43">
        <v>192.84</v>
      </c>
      <c r="G902" s="100">
        <f t="shared" si="13"/>
        <v>192.84</v>
      </c>
      <c r="H902" s="101"/>
      <c r="I902" s="100">
        <f>G902*H902</f>
        <v>0</v>
      </c>
      <c r="J902" s="39" t="s">
        <v>3336</v>
      </c>
      <c r="K902" s="40" t="s">
        <v>69</v>
      </c>
      <c r="L902" s="41"/>
      <c r="M902" s="42" t="s">
        <v>3947</v>
      </c>
      <c r="N902" s="42" t="str">
        <f>HYPERLINK("https://pronto.by/catalog/prazdnichnaya-svetotehnika/professional-professionalnye-proekty/girlyanda-bahroma-aysikl/bahroma-pvh/bahroma-pvh-48h06-m/255-186.html", "https://pronto.by/catalog/prazdnichnaya-svetotehnika/professional-professionalnye-proekty/girlyanda-bahroma-aysikl/bahroma-pvh/bahroma-pvh-48h06-m/255-186.html")</f>
        <v>https://pronto.by/catalog/prazdnichnaya-svetotehnika/professional-professionalnye-proekty/girlyanda-bahroma-aysikl/bahroma-pvh/bahroma-pvh-48h06-m/255-186.html</v>
      </c>
    </row>
    <row r="903" spans="1:14" customFormat="1" ht="15.6">
      <c r="A903" s="81" t="s">
        <v>3948</v>
      </c>
      <c r="B903" s="67"/>
      <c r="C903" s="67"/>
      <c r="D903" s="32"/>
      <c r="E903" s="32"/>
      <c r="F903" s="32"/>
      <c r="G903" s="52"/>
      <c r="H903" s="52"/>
      <c r="I903" s="52"/>
      <c r="J903" s="32"/>
      <c r="K903" s="32"/>
      <c r="L903" s="33"/>
      <c r="M903" s="33"/>
      <c r="N903" s="34"/>
    </row>
    <row r="904" spans="1:14" customFormat="1" ht="82.8">
      <c r="A904" s="35" t="s">
        <v>3949</v>
      </c>
      <c r="B904" s="19" t="s">
        <v>3950</v>
      </c>
      <c r="C904" s="20" t="s">
        <v>3951</v>
      </c>
      <c r="D904" s="36" t="s">
        <v>28</v>
      </c>
      <c r="E904" s="37" t="s">
        <v>3295</v>
      </c>
      <c r="F904" s="43">
        <v>152.76000000000002</v>
      </c>
      <c r="G904" s="100">
        <f t="shared" si="13"/>
        <v>152.76</v>
      </c>
      <c r="H904" s="101"/>
      <c r="I904" s="100">
        <f>G904*H904</f>
        <v>0</v>
      </c>
      <c r="J904" s="39" t="s">
        <v>3664</v>
      </c>
      <c r="K904" s="40" t="s">
        <v>41</v>
      </c>
      <c r="L904" s="41"/>
      <c r="M904" s="42" t="str">
        <f>HYPERLINK("https://catalog.onliner.by/xmaslights/neonnight/nn255275", "https://catalog.onliner.by/xmaslights/neonnight/nn255275")</f>
        <v>https://catalog.onliner.by/xmaslights/neonnight/nn255275</v>
      </c>
      <c r="N904" s="42" t="str">
        <f>HYPERLINK("https://pronto.by/catalog/product/255-275.html", "https://pronto.by/catalog/product/255-275.html")</f>
        <v>https://pronto.by/catalog/product/255-275.html</v>
      </c>
    </row>
    <row r="905" spans="1:14" customFormat="1" ht="82.8">
      <c r="A905" s="35" t="s">
        <v>3952</v>
      </c>
      <c r="B905" s="19" t="s">
        <v>3953</v>
      </c>
      <c r="C905" s="20" t="s">
        <v>3954</v>
      </c>
      <c r="D905" s="36" t="s">
        <v>28</v>
      </c>
      <c r="E905" s="37" t="s">
        <v>3273</v>
      </c>
      <c r="F905" s="43">
        <v>153.24</v>
      </c>
      <c r="G905" s="100">
        <f t="shared" si="13"/>
        <v>153.24</v>
      </c>
      <c r="H905" s="101"/>
      <c r="I905" s="100">
        <f>G905*H905</f>
        <v>0</v>
      </c>
      <c r="J905" s="39" t="s">
        <v>3664</v>
      </c>
      <c r="K905" s="40" t="s">
        <v>41</v>
      </c>
      <c r="L905" s="41"/>
      <c r="M905" s="42" t="str">
        <f>HYPERLINK("https://catalog.onliner.by/xmaslights/neonnight/nn255276", "https://catalog.onliner.by/xmaslights/neonnight/nn255276")</f>
        <v>https://catalog.onliner.by/xmaslights/neonnight/nn255276</v>
      </c>
      <c r="N905" s="42" t="str">
        <f>HYPERLINK("https://pronto.by/catalog/product/255-276.html", "https://pronto.by/catalog/product/255-276.html")</f>
        <v>https://pronto.by/catalog/product/255-276.html</v>
      </c>
    </row>
    <row r="906" spans="1:14" customFormat="1" ht="15.6">
      <c r="A906" s="81" t="s">
        <v>3955</v>
      </c>
      <c r="B906" s="67"/>
      <c r="C906" s="67"/>
      <c r="D906" s="32"/>
      <c r="E906" s="32"/>
      <c r="F906" s="32"/>
      <c r="G906" s="52"/>
      <c r="H906" s="52"/>
      <c r="I906" s="52"/>
      <c r="J906" s="32"/>
      <c r="K906" s="32"/>
      <c r="L906" s="33"/>
      <c r="M906" s="33"/>
      <c r="N906" s="34"/>
    </row>
    <row r="907" spans="1:14" customFormat="1" ht="82.8">
      <c r="A907" s="35" t="s">
        <v>2042</v>
      </c>
      <c r="B907" s="19" t="s">
        <v>2043</v>
      </c>
      <c r="C907" s="20" t="s">
        <v>2044</v>
      </c>
      <c r="D907" s="36" t="s">
        <v>28</v>
      </c>
      <c r="E907" s="37" t="s">
        <v>3273</v>
      </c>
      <c r="F907" s="43">
        <v>187.86</v>
      </c>
      <c r="G907" s="100">
        <f t="shared" si="13"/>
        <v>187.86</v>
      </c>
      <c r="H907" s="101"/>
      <c r="I907" s="100">
        <f>G907*H907</f>
        <v>0</v>
      </c>
      <c r="J907" s="39" t="s">
        <v>3664</v>
      </c>
      <c r="K907" s="40" t="s">
        <v>69</v>
      </c>
      <c r="L907" s="41"/>
      <c r="M907" s="42" t="str">
        <f>HYPERLINK("https://catalog.onliner.by/xmaslights/neonnight/nn255216", "https://catalog.onliner.by/xmaslights/neonnight/nn255216")</f>
        <v>https://catalog.onliner.by/xmaslights/neonnight/nn255216</v>
      </c>
      <c r="N907" s="42" t="str">
        <f>HYPERLINK("https://pronto.by/catalog/product/255-216.html", "https://pronto.by/catalog/product/255-216.html")</f>
        <v>https://pronto.by/catalog/product/255-216.html</v>
      </c>
    </row>
    <row r="908" spans="1:14" customFormat="1" ht="82.8">
      <c r="A908" s="35" t="s">
        <v>2045</v>
      </c>
      <c r="B908" s="19" t="s">
        <v>2046</v>
      </c>
      <c r="C908" s="20" t="s">
        <v>2047</v>
      </c>
      <c r="D908" s="36" t="s">
        <v>28</v>
      </c>
      <c r="E908" s="37" t="s">
        <v>3276</v>
      </c>
      <c r="F908" s="43">
        <v>196.86</v>
      </c>
      <c r="G908" s="100">
        <f t="shared" si="13"/>
        <v>196.86</v>
      </c>
      <c r="H908" s="101"/>
      <c r="I908" s="100">
        <f>G908*H908</f>
        <v>0</v>
      </c>
      <c r="J908" s="39" t="s">
        <v>3664</v>
      </c>
      <c r="K908" s="40" t="s">
        <v>69</v>
      </c>
      <c r="L908" s="41"/>
      <c r="M908" s="42" t="str">
        <f>HYPERLINK("https://catalog.onliner.by/xmaslights/neonnight/neon255336", "https://catalog.onliner.by/xmaslights/neonnight/neon255336")</f>
        <v>https://catalog.onliner.by/xmaslights/neonnight/neon255336</v>
      </c>
      <c r="N908" s="42" t="str">
        <f>HYPERLINK("https://pronto.by/catalog/product/255-336.html", "https://pronto.by/catalog/product/255-336.html")</f>
        <v>https://pronto.by/catalog/product/255-336.html</v>
      </c>
    </row>
    <row r="909" spans="1:14" customFormat="1" ht="102">
      <c r="A909" s="45" t="s">
        <v>2048</v>
      </c>
      <c r="B909" s="46" t="s">
        <v>2049</v>
      </c>
      <c r="C909" s="54" t="s">
        <v>2050</v>
      </c>
      <c r="D909" s="47"/>
      <c r="E909" s="48"/>
      <c r="F909" s="43">
        <v>187.86</v>
      </c>
      <c r="G909" s="100">
        <f t="shared" si="13"/>
        <v>187.86</v>
      </c>
      <c r="H909" s="101"/>
      <c r="I909" s="100">
        <f>G909*H909</f>
        <v>0</v>
      </c>
      <c r="J909" s="39" t="s">
        <v>3664</v>
      </c>
      <c r="K909" s="40" t="s">
        <v>69</v>
      </c>
      <c r="L909" s="41"/>
      <c r="M909" s="42" t="s">
        <v>3956</v>
      </c>
      <c r="N909" s="42" t="str">
        <f>HYPERLINK("https://pronto.by/catalog/prazdnichnaya-svetotehnika/professional-professionalnye-proekty/girlyanda-bahroma-aysikl/bahroma-kauchuk/bahroma-kauchuk-32h09-m/255-456.html", "https://pronto.by/catalog/prazdnichnaya-svetotehnika/professional-professionalnye-proekty/girlyanda-bahroma-aysikl/bahroma-kauchuk/bahroma-kauchuk-32h09-m/255-456.html")</f>
        <v>https://pronto.by/catalog/prazdnichnaya-svetotehnika/professional-professionalnye-proekty/girlyanda-bahroma-aysikl/bahroma-kauchuk/bahroma-kauchuk-32h09-m/255-456.html</v>
      </c>
    </row>
    <row r="910" spans="1:14" customFormat="1" ht="102">
      <c r="A910" s="45" t="s">
        <v>2051</v>
      </c>
      <c r="B910" s="46" t="s">
        <v>2052</v>
      </c>
      <c r="C910" s="54" t="s">
        <v>2053</v>
      </c>
      <c r="D910" s="47"/>
      <c r="E910" s="48"/>
      <c r="F910" s="43">
        <v>196.86</v>
      </c>
      <c r="G910" s="100">
        <f t="shared" si="13"/>
        <v>196.86</v>
      </c>
      <c r="H910" s="101"/>
      <c r="I910" s="100">
        <f>G910*H910</f>
        <v>0</v>
      </c>
      <c r="J910" s="39" t="s">
        <v>3664</v>
      </c>
      <c r="K910" s="40" t="s">
        <v>69</v>
      </c>
      <c r="L910" s="41"/>
      <c r="M910" s="42" t="s">
        <v>3957</v>
      </c>
      <c r="N910" s="42" t="str">
        <f>HYPERLINK("https://pronto.by/catalog/prazdnichnaya-svetotehnika/professional-professionalnye-proekty/girlyanda-bahroma-aysikl/bahroma-kauchuk/bahroma-kauchuk-32h09-m/255-466.html", "https://pronto.by/catalog/prazdnichnaya-svetotehnika/professional-professionalnye-proekty/girlyanda-bahroma-aysikl/bahroma-kauchuk/bahroma-kauchuk-32h09-m/255-466.html")</f>
        <v>https://pronto.by/catalog/prazdnichnaya-svetotehnika/professional-professionalnye-proekty/girlyanda-bahroma-aysikl/bahroma-kauchuk/bahroma-kauchuk-32h09-m/255-466.html</v>
      </c>
    </row>
    <row r="911" spans="1:14" customFormat="1" ht="15.6">
      <c r="A911" s="81" t="s">
        <v>3958</v>
      </c>
      <c r="B911" s="67"/>
      <c r="C911" s="67"/>
      <c r="D911" s="32"/>
      <c r="E911" s="32"/>
      <c r="F911" s="32"/>
      <c r="G911" s="52"/>
      <c r="H911" s="52"/>
      <c r="I911" s="52"/>
      <c r="J911" s="32"/>
      <c r="K911" s="32"/>
      <c r="L911" s="33"/>
      <c r="M911" s="33"/>
      <c r="N911" s="34"/>
    </row>
    <row r="912" spans="1:14" customFormat="1" ht="82.8">
      <c r="A912" s="35" t="s">
        <v>2054</v>
      </c>
      <c r="B912" s="19" t="s">
        <v>2055</v>
      </c>
      <c r="C912" s="20" t="s">
        <v>2056</v>
      </c>
      <c r="D912" s="36" t="s">
        <v>28</v>
      </c>
      <c r="E912" s="37" t="s">
        <v>3273</v>
      </c>
      <c r="F912" s="43">
        <v>196.98</v>
      </c>
      <c r="G912" s="100">
        <f t="shared" ref="G912:G974" si="14">ROUND(F912-F912*G$3,2)</f>
        <v>196.98</v>
      </c>
      <c r="H912" s="101"/>
      <c r="I912" s="100">
        <f>G912*H912</f>
        <v>0</v>
      </c>
      <c r="J912" s="39" t="s">
        <v>3664</v>
      </c>
      <c r="K912" s="40" t="s">
        <v>69</v>
      </c>
      <c r="L912" s="41"/>
      <c r="M912" s="42" t="str">
        <f>HYPERLINK("https://catalog.onliner.by/xmaslights/neonnight/255205", "https://catalog.onliner.by/xmaslights/neonnight/255205")</f>
        <v>https://catalog.onliner.by/xmaslights/neonnight/255205</v>
      </c>
      <c r="N912" s="42" t="str">
        <f>HYPERLINK("https://pronto.by/catalog/product/255-205.html", "https://pronto.by/catalog/product/255-205.html")</f>
        <v>https://pronto.by/catalog/product/255-205.html</v>
      </c>
    </row>
    <row r="913" spans="1:14" customFormat="1" ht="82.8">
      <c r="A913" s="35" t="s">
        <v>2057</v>
      </c>
      <c r="B913" s="19" t="s">
        <v>2058</v>
      </c>
      <c r="C913" s="20" t="s">
        <v>2059</v>
      </c>
      <c r="D913" s="36" t="s">
        <v>28</v>
      </c>
      <c r="E913" s="37" t="s">
        <v>3276</v>
      </c>
      <c r="F913" s="43">
        <v>212.16</v>
      </c>
      <c r="G913" s="100">
        <f t="shared" si="14"/>
        <v>212.16</v>
      </c>
      <c r="H913" s="101"/>
      <c r="I913" s="100">
        <f>G913*H913</f>
        <v>0</v>
      </c>
      <c r="J913" s="39" t="s">
        <v>3664</v>
      </c>
      <c r="K913" s="40" t="s">
        <v>69</v>
      </c>
      <c r="L913" s="41"/>
      <c r="M913" s="42" t="str">
        <f>HYPERLINK("https://catalog.onliner.by/xmaslights/neonnight/255355", "https://catalog.onliner.by/xmaslights/neonnight/255355")</f>
        <v>https://catalog.onliner.by/xmaslights/neonnight/255355</v>
      </c>
      <c r="N913" s="42" t="str">
        <f>HYPERLINK("https://pronto.by/catalog/product/255-355.html", "https://pronto.by/catalog/product/255-355.html")</f>
        <v>https://pronto.by/catalog/product/255-355.html</v>
      </c>
    </row>
    <row r="914" spans="1:14" customFormat="1" ht="82.8">
      <c r="A914" s="35" t="s">
        <v>2060</v>
      </c>
      <c r="B914" s="19" t="s">
        <v>2061</v>
      </c>
      <c r="C914" s="20" t="s">
        <v>2062</v>
      </c>
      <c r="D914" s="36" t="s">
        <v>28</v>
      </c>
      <c r="E914" s="37" t="s">
        <v>3276</v>
      </c>
      <c r="F914" s="43">
        <v>196.98</v>
      </c>
      <c r="G914" s="100">
        <f t="shared" si="14"/>
        <v>196.98</v>
      </c>
      <c r="H914" s="101"/>
      <c r="I914" s="100">
        <f>G914*H914</f>
        <v>0</v>
      </c>
      <c r="J914" s="39" t="s">
        <v>3664</v>
      </c>
      <c r="K914" s="40" t="s">
        <v>69</v>
      </c>
      <c r="L914" s="41"/>
      <c r="M914" s="42" t="str">
        <f>HYPERLINK("https://catalog.onliner.by/xmaslights/neonnight/nn255225", "https://catalog.onliner.by/xmaslights/neonnight/nn255225")</f>
        <v>https://catalog.onliner.by/xmaslights/neonnight/nn255225</v>
      </c>
      <c r="N914" s="42" t="str">
        <f>HYPERLINK("https://pronto.by/catalog/product/255-225.html", "https://pronto.by/catalog/product/255-225.html")</f>
        <v>https://pronto.by/catalog/product/255-225.html</v>
      </c>
    </row>
    <row r="915" spans="1:14" customFormat="1" ht="82.8">
      <c r="A915" s="35" t="s">
        <v>2063</v>
      </c>
      <c r="B915" s="19" t="s">
        <v>2064</v>
      </c>
      <c r="C915" s="20" t="s">
        <v>3959</v>
      </c>
      <c r="D915" s="36" t="s">
        <v>28</v>
      </c>
      <c r="E915" s="37" t="s">
        <v>3273</v>
      </c>
      <c r="F915" s="43">
        <v>212.16</v>
      </c>
      <c r="G915" s="100">
        <f t="shared" si="14"/>
        <v>212.16</v>
      </c>
      <c r="H915" s="101"/>
      <c r="I915" s="100">
        <f>G915*H915</f>
        <v>0</v>
      </c>
      <c r="J915" s="39" t="s">
        <v>3664</v>
      </c>
      <c r="K915" s="40" t="s">
        <v>69</v>
      </c>
      <c r="L915" s="41"/>
      <c r="M915" s="42" t="str">
        <f>HYPERLINK("https://catalog.onliner.by/xmaslights/neonnight/255235", "https://catalog.onliner.by/xmaslights/neonnight/255235")</f>
        <v>https://catalog.onliner.by/xmaslights/neonnight/255235</v>
      </c>
      <c r="N915" s="42" t="str">
        <f>HYPERLINK("https://pronto.by/catalog/product/255-235.html", "https://pronto.by/catalog/product/255-235.html")</f>
        <v>https://pronto.by/catalog/product/255-235.html</v>
      </c>
    </row>
    <row r="916" spans="1:14" customFormat="1" ht="82.8">
      <c r="A916" s="35" t="s">
        <v>2065</v>
      </c>
      <c r="B916" s="19" t="s">
        <v>2066</v>
      </c>
      <c r="C916" s="20" t="s">
        <v>2067</v>
      </c>
      <c r="D916" s="36" t="s">
        <v>28</v>
      </c>
      <c r="E916" s="37" t="s">
        <v>3273</v>
      </c>
      <c r="F916" s="43">
        <v>184.14000000000001</v>
      </c>
      <c r="G916" s="100">
        <f t="shared" si="14"/>
        <v>184.14</v>
      </c>
      <c r="H916" s="101"/>
      <c r="I916" s="100">
        <f>G916*H916</f>
        <v>0</v>
      </c>
      <c r="J916" s="39" t="s">
        <v>3664</v>
      </c>
      <c r="K916" s="40" t="s">
        <v>69</v>
      </c>
      <c r="L916" s="41"/>
      <c r="M916" s="42" t="str">
        <f>HYPERLINK("https://catalog.onliner.by/xmaslights/neonnight/255201", "https://catalog.onliner.by/xmaslights/neonnight/255201")</f>
        <v>https://catalog.onliner.by/xmaslights/neonnight/255201</v>
      </c>
      <c r="N916" s="42" t="str">
        <f>HYPERLINK("https://pronto.by/catalog/product/255-201.html", "https://pronto.by/catalog/product/255-201.html")</f>
        <v>https://pronto.by/catalog/product/255-201.html</v>
      </c>
    </row>
    <row r="917" spans="1:14" customFormat="1" ht="82.8">
      <c r="A917" s="35" t="s">
        <v>2068</v>
      </c>
      <c r="B917" s="19" t="s">
        <v>2069</v>
      </c>
      <c r="C917" s="20" t="s">
        <v>2070</v>
      </c>
      <c r="D917" s="36" t="s">
        <v>28</v>
      </c>
      <c r="E917" s="37" t="s">
        <v>3273</v>
      </c>
      <c r="F917" s="43">
        <v>184.14000000000001</v>
      </c>
      <c r="G917" s="100">
        <f t="shared" si="14"/>
        <v>184.14</v>
      </c>
      <c r="H917" s="101"/>
      <c r="I917" s="100">
        <f>G917*H917</f>
        <v>0</v>
      </c>
      <c r="J917" s="39" t="s">
        <v>3664</v>
      </c>
      <c r="K917" s="40" t="s">
        <v>69</v>
      </c>
      <c r="L917" s="41"/>
      <c r="M917" s="42" t="str">
        <f>HYPERLINK("https://catalog.onliner.by/xmaslights/neonnight/nn255221", "https://catalog.onliner.by/xmaslights/neonnight/nn255221")</f>
        <v>https://catalog.onliner.by/xmaslights/neonnight/nn255221</v>
      </c>
      <c r="N917" s="42" t="str">
        <f>HYPERLINK("https://pronto.by/catalog/product/255-221.html", "https://pronto.by/catalog/product/255-221.html")</f>
        <v>https://pronto.by/catalog/product/255-221.html</v>
      </c>
    </row>
    <row r="918" spans="1:14" customFormat="1" ht="82.8">
      <c r="A918" s="35" t="s">
        <v>2071</v>
      </c>
      <c r="B918" s="19" t="s">
        <v>2072</v>
      </c>
      <c r="C918" s="20" t="s">
        <v>2073</v>
      </c>
      <c r="D918" s="36" t="s">
        <v>28</v>
      </c>
      <c r="E918" s="37" t="s">
        <v>3273</v>
      </c>
      <c r="F918" s="43">
        <v>195.42000000000002</v>
      </c>
      <c r="G918" s="100">
        <f t="shared" si="14"/>
        <v>195.42</v>
      </c>
      <c r="H918" s="101"/>
      <c r="I918" s="100">
        <f>G918*H918</f>
        <v>0</v>
      </c>
      <c r="J918" s="39" t="s">
        <v>3664</v>
      </c>
      <c r="K918" s="40" t="s">
        <v>69</v>
      </c>
      <c r="L918" s="41"/>
      <c r="M918" s="42" t="str">
        <f>HYPERLINK("https://catalog.onliner.by/xmaslights/neonnight/255231", "https://catalog.onliner.by/xmaslights/neonnight/255231")</f>
        <v>https://catalog.onliner.by/xmaslights/neonnight/255231</v>
      </c>
      <c r="N918" s="42" t="str">
        <f>HYPERLINK("https://pronto.by/catalog/product/255-231.html", "https://pronto.by/catalog/product/255-231.html")</f>
        <v>https://pronto.by/catalog/product/255-231.html</v>
      </c>
    </row>
    <row r="919" spans="1:14" customFormat="1" ht="82.8">
      <c r="A919" s="35" t="s">
        <v>2074</v>
      </c>
      <c r="B919" s="19" t="s">
        <v>2075</v>
      </c>
      <c r="C919" s="20" t="s">
        <v>2076</v>
      </c>
      <c r="D919" s="36" t="s">
        <v>28</v>
      </c>
      <c r="E919" s="37" t="s">
        <v>3273</v>
      </c>
      <c r="F919" s="43">
        <v>184.14000000000001</v>
      </c>
      <c r="G919" s="100">
        <f t="shared" si="14"/>
        <v>184.14</v>
      </c>
      <c r="H919" s="101"/>
      <c r="I919" s="100">
        <f>G919*H919</f>
        <v>0</v>
      </c>
      <c r="J919" s="39" t="s">
        <v>3664</v>
      </c>
      <c r="K919" s="40" t="s">
        <v>69</v>
      </c>
      <c r="L919" s="41"/>
      <c r="M919" s="42" t="str">
        <f>HYPERLINK("https://catalog.onliner.by/xmaslights/neonnight/255203", "https://catalog.onliner.by/xmaslights/neonnight/255203")</f>
        <v>https://catalog.onliner.by/xmaslights/neonnight/255203</v>
      </c>
      <c r="N919" s="42" t="str">
        <f>HYPERLINK("https://pronto.by/catalog/product/255-203.html", "https://pronto.by/catalog/product/255-203.html")</f>
        <v>https://pronto.by/catalog/product/255-203.html</v>
      </c>
    </row>
    <row r="920" spans="1:14" customFormat="1" ht="102">
      <c r="A920" s="35" t="s">
        <v>2077</v>
      </c>
      <c r="B920" s="19" t="s">
        <v>2078</v>
      </c>
      <c r="C920" s="20" t="s">
        <v>2079</v>
      </c>
      <c r="D920" s="36" t="s">
        <v>28</v>
      </c>
      <c r="E920" s="37" t="s">
        <v>3283</v>
      </c>
      <c r="F920" s="43">
        <v>195.42000000000002</v>
      </c>
      <c r="G920" s="100">
        <f t="shared" si="14"/>
        <v>195.42</v>
      </c>
      <c r="H920" s="101"/>
      <c r="I920" s="100">
        <f>G920*H920</f>
        <v>0</v>
      </c>
      <c r="J920" s="39" t="s">
        <v>3664</v>
      </c>
      <c r="K920" s="40" t="s">
        <v>69</v>
      </c>
      <c r="L920" s="41"/>
      <c r="M920" s="42" t="str">
        <f>HYPERLINK("https://catalog.onliner.by/xmaslights/neonnight/255353", "https://catalog.onliner.by/xmaslights/neonnight/255353")</f>
        <v>https://catalog.onliner.by/xmaslights/neonnight/255353</v>
      </c>
      <c r="N920" s="42" t="str">
        <f>HYPERLINK("https://pronto.by/catalog/prazdnichnaya-svetotehnika/professional-professionalnye-proekty/girlyanda-bahroma-aysikl/bahroma-kauchuk/bahroma-kauchuk-4h06-m/255-353.html", "https://pronto.by/catalog/prazdnichnaya-svetotehnika/professional-professionalnye-proekty/girlyanda-bahroma-aysikl/bahroma-kauchuk/bahroma-kauchuk-4h06-m/255-353.html")</f>
        <v>https://pronto.by/catalog/prazdnichnaya-svetotehnika/professional-professionalnye-proekty/girlyanda-bahroma-aysikl/bahroma-kauchuk/bahroma-kauchuk-4h06-m/255-353.html</v>
      </c>
    </row>
    <row r="921" spans="1:14" customFormat="1" ht="82.8">
      <c r="A921" s="35" t="s">
        <v>2080</v>
      </c>
      <c r="B921" s="19" t="s">
        <v>2081</v>
      </c>
      <c r="C921" s="20" t="s">
        <v>2082</v>
      </c>
      <c r="D921" s="36" t="s">
        <v>28</v>
      </c>
      <c r="E921" s="37" t="s">
        <v>3273</v>
      </c>
      <c r="F921" s="43">
        <v>184.14000000000001</v>
      </c>
      <c r="G921" s="100">
        <f t="shared" si="14"/>
        <v>184.14</v>
      </c>
      <c r="H921" s="101"/>
      <c r="I921" s="100">
        <f>G921*H921</f>
        <v>0</v>
      </c>
      <c r="J921" s="39" t="s">
        <v>3664</v>
      </c>
      <c r="K921" s="40" t="s">
        <v>69</v>
      </c>
      <c r="L921" s="41"/>
      <c r="M921" s="42" t="str">
        <f>HYPERLINK("https://catalog.onliner.by/xmaslights/neonnight/nn255223", "https://catalog.onliner.by/xmaslights/neonnight/nn255223")</f>
        <v>https://catalog.onliner.by/xmaslights/neonnight/nn255223</v>
      </c>
      <c r="N921" s="42" t="str">
        <f>HYPERLINK("https://pronto.by/catalog/product/255-223.html", "https://pronto.by/catalog/product/255-223.html")</f>
        <v>https://pronto.by/catalog/product/255-223.html</v>
      </c>
    </row>
    <row r="922" spans="1:14" customFormat="1" ht="82.8">
      <c r="A922" s="35" t="s">
        <v>2083</v>
      </c>
      <c r="B922" s="19" t="s">
        <v>2084</v>
      </c>
      <c r="C922" s="20" t="s">
        <v>3960</v>
      </c>
      <c r="D922" s="36" t="s">
        <v>28</v>
      </c>
      <c r="E922" s="37" t="s">
        <v>3273</v>
      </c>
      <c r="F922" s="43">
        <v>195.42000000000002</v>
      </c>
      <c r="G922" s="100">
        <f t="shared" si="14"/>
        <v>195.42</v>
      </c>
      <c r="H922" s="101"/>
      <c r="I922" s="100">
        <f>G922*H922</f>
        <v>0</v>
      </c>
      <c r="J922" s="39" t="s">
        <v>3664</v>
      </c>
      <c r="K922" s="40" t="s">
        <v>69</v>
      </c>
      <c r="L922" s="41"/>
      <c r="M922" s="42" t="str">
        <f>HYPERLINK("https://catalog.onliner.by/xmaslights/neonnight/255233", "https://catalog.onliner.by/xmaslights/neonnight/255233")</f>
        <v>https://catalog.onliner.by/xmaslights/neonnight/255233</v>
      </c>
      <c r="N922" s="42" t="str">
        <f>HYPERLINK("https://pronto.by/catalog/product/255-233.html", "https://pronto.by/catalog/product/255-233.html")</f>
        <v>https://pronto.by/catalog/product/255-233.html</v>
      </c>
    </row>
    <row r="923" spans="1:14" customFormat="1" ht="82.8">
      <c r="A923" s="35" t="s">
        <v>2085</v>
      </c>
      <c r="B923" s="19" t="s">
        <v>2086</v>
      </c>
      <c r="C923" s="20" t="s">
        <v>2087</v>
      </c>
      <c r="D923" s="36" t="s">
        <v>28</v>
      </c>
      <c r="E923" s="37" t="s">
        <v>3273</v>
      </c>
      <c r="F923" s="43">
        <v>196.98</v>
      </c>
      <c r="G923" s="100">
        <f t="shared" si="14"/>
        <v>196.98</v>
      </c>
      <c r="H923" s="101"/>
      <c r="I923" s="100">
        <f>G923*H923</f>
        <v>0</v>
      </c>
      <c r="J923" s="39" t="s">
        <v>3664</v>
      </c>
      <c r="K923" s="40" t="s">
        <v>69</v>
      </c>
      <c r="L923" s="41"/>
      <c r="M923" s="42" t="str">
        <f>HYPERLINK("https://catalog.onliner.by/xmaslights/neonnight/255206", "https://catalog.onliner.by/xmaslights/neonnight/255206")</f>
        <v>https://catalog.onliner.by/xmaslights/neonnight/255206</v>
      </c>
      <c r="N923" s="42" t="str">
        <f>HYPERLINK("https://pronto.by/catalog/product/255-206.html", "https://pronto.by/catalog/product/255-206.html")</f>
        <v>https://pronto.by/catalog/product/255-206.html</v>
      </c>
    </row>
    <row r="924" spans="1:14" customFormat="1" ht="82.8">
      <c r="A924" s="35" t="s">
        <v>2088</v>
      </c>
      <c r="B924" s="19" t="s">
        <v>2089</v>
      </c>
      <c r="C924" s="20" t="s">
        <v>3961</v>
      </c>
      <c r="D924" s="36" t="s">
        <v>28</v>
      </c>
      <c r="E924" s="37" t="s">
        <v>3276</v>
      </c>
      <c r="F924" s="43">
        <v>212.16</v>
      </c>
      <c r="G924" s="100">
        <f t="shared" si="14"/>
        <v>212.16</v>
      </c>
      <c r="H924" s="101"/>
      <c r="I924" s="100">
        <f>G924*H924</f>
        <v>0</v>
      </c>
      <c r="J924" s="39" t="s">
        <v>3664</v>
      </c>
      <c r="K924" s="40" t="s">
        <v>69</v>
      </c>
      <c r="L924" s="41"/>
      <c r="M924" s="42" t="str">
        <f>HYPERLINK("https://catalog.onliner.by/xmaslights/neonnight/255356", "https://catalog.onliner.by/xmaslights/neonnight/255356")</f>
        <v>https://catalog.onliner.by/xmaslights/neonnight/255356</v>
      </c>
      <c r="N924" s="42" t="str">
        <f>HYPERLINK("https://pronto.by/catalog/product/255-356.html", "https://pronto.by/catalog/product/255-356.html")</f>
        <v>https://pronto.by/catalog/product/255-356.html</v>
      </c>
    </row>
    <row r="925" spans="1:14" customFormat="1" ht="102">
      <c r="A925" s="35" t="s">
        <v>2090</v>
      </c>
      <c r="B925" s="19" t="s">
        <v>2091</v>
      </c>
      <c r="C925" s="20" t="s">
        <v>3962</v>
      </c>
      <c r="D925" s="36" t="s">
        <v>28</v>
      </c>
      <c r="E925" s="37" t="s">
        <v>3276</v>
      </c>
      <c r="F925" s="43">
        <v>175.38</v>
      </c>
      <c r="G925" s="100">
        <f t="shared" si="14"/>
        <v>175.38</v>
      </c>
      <c r="H925" s="101"/>
      <c r="I925" s="100">
        <f>G925*H925</f>
        <v>0</v>
      </c>
      <c r="J925" s="39" t="s">
        <v>3664</v>
      </c>
      <c r="K925" s="40" t="s">
        <v>41</v>
      </c>
      <c r="L925" s="41"/>
      <c r="M925" s="42" t="str">
        <f>HYPERLINK("https://catalog.onliner.by/xmaslights/neonnight/neon2552266", "https://catalog.onliner.by/xmaslights/neonnight/neon2552266")</f>
        <v>https://catalog.onliner.by/xmaslights/neonnight/neon2552266</v>
      </c>
      <c r="N925" s="42" t="str">
        <f>HYPERLINK("https://pronto.by/catalog/prazdnichnaya-svetotehnika/professional-professionalnye-proekty/girlyanda-bahroma-aysikl/bahroma-kauchuk/bahroma-kauchuk-4h06-m/255-226-6.html", "https://pronto.by/catalog/prazdnichnaya-svetotehnika/professional-professionalnye-proekty/girlyanda-bahroma-aysikl/bahroma-kauchuk/bahroma-kauchuk-4h06-m/255-226-6.html")</f>
        <v>https://pronto.by/catalog/prazdnichnaya-svetotehnika/professional-professionalnye-proekty/girlyanda-bahroma-aysikl/bahroma-kauchuk/bahroma-kauchuk-4h06-m/255-226-6.html</v>
      </c>
    </row>
    <row r="926" spans="1:14" customFormat="1" ht="102">
      <c r="A926" s="35" t="s">
        <v>2092</v>
      </c>
      <c r="B926" s="19" t="s">
        <v>2093</v>
      </c>
      <c r="C926" s="20" t="s">
        <v>3963</v>
      </c>
      <c r="D926" s="36" t="s">
        <v>28</v>
      </c>
      <c r="E926" s="37" t="s">
        <v>3276</v>
      </c>
      <c r="F926" s="43">
        <v>186.12000000000003</v>
      </c>
      <c r="G926" s="100">
        <f t="shared" si="14"/>
        <v>186.12</v>
      </c>
      <c r="H926" s="101"/>
      <c r="I926" s="100">
        <f>G926*H926</f>
        <v>0</v>
      </c>
      <c r="J926" s="39" t="s">
        <v>3664</v>
      </c>
      <c r="K926" s="40" t="s">
        <v>69</v>
      </c>
      <c r="L926" s="41"/>
      <c r="M926" s="42" t="str">
        <f>HYPERLINK("https://catalog.onliner.by/xmaslights/neonnight/neon2552366", "https://catalog.onliner.by/xmaslights/neonnight/neon2552366")</f>
        <v>https://catalog.onliner.by/xmaslights/neonnight/neon2552366</v>
      </c>
      <c r="N926" s="42" t="str">
        <f>HYPERLINK("https://pronto.by/catalog/prazdnichnaya-svetotehnika/professional-professionalnye-proekty/girlyanda-bahroma-aysikl/bahroma-kauchuk/bahroma-kauchuk-4h06-m/255-236-6.html", "https://pronto.by/catalog/prazdnichnaya-svetotehnika/professional-professionalnye-proekty/girlyanda-bahroma-aysikl/bahroma-kauchuk/bahroma-kauchuk-4h06-m/255-236-6.html")</f>
        <v>https://pronto.by/catalog/prazdnichnaya-svetotehnika/professional-professionalnye-proekty/girlyanda-bahroma-aysikl/bahroma-kauchuk/bahroma-kauchuk-4h06-m/255-236-6.html</v>
      </c>
    </row>
    <row r="927" spans="1:14" customFormat="1" ht="82.8">
      <c r="A927" s="35" t="s">
        <v>2094</v>
      </c>
      <c r="B927" s="19" t="s">
        <v>2095</v>
      </c>
      <c r="C927" s="20" t="s">
        <v>2096</v>
      </c>
      <c r="D927" s="36" t="s">
        <v>28</v>
      </c>
      <c r="E927" s="37" t="s">
        <v>3276</v>
      </c>
      <c r="F927" s="43">
        <v>196.98</v>
      </c>
      <c r="G927" s="100">
        <f t="shared" si="14"/>
        <v>196.98</v>
      </c>
      <c r="H927" s="101"/>
      <c r="I927" s="100">
        <f>G927*H927</f>
        <v>0</v>
      </c>
      <c r="J927" s="39" t="s">
        <v>3664</v>
      </c>
      <c r="K927" s="40" t="s">
        <v>69</v>
      </c>
      <c r="L927" s="41"/>
      <c r="M927" s="42" t="str">
        <f>HYPERLINK("https://catalog.onliner.by/xmaslights/neonnight/nn255226", "https://catalog.onliner.by/xmaslights/neonnight/nn255226")</f>
        <v>https://catalog.onliner.by/xmaslights/neonnight/nn255226</v>
      </c>
      <c r="N927" s="42" t="str">
        <f>HYPERLINK("https://pronto.by/catalog/product/255-226.html", "https://pronto.by/catalog/product/255-226.html")</f>
        <v>https://pronto.by/catalog/product/255-226.html</v>
      </c>
    </row>
    <row r="928" spans="1:14" customFormat="1" ht="82.8">
      <c r="A928" s="35" t="s">
        <v>2097</v>
      </c>
      <c r="B928" s="19" t="s">
        <v>2098</v>
      </c>
      <c r="C928" s="20" t="s">
        <v>3964</v>
      </c>
      <c r="D928" s="36" t="s">
        <v>28</v>
      </c>
      <c r="E928" s="37" t="s">
        <v>3273</v>
      </c>
      <c r="F928" s="43">
        <v>212.16</v>
      </c>
      <c r="G928" s="100">
        <f t="shared" si="14"/>
        <v>212.16</v>
      </c>
      <c r="H928" s="101"/>
      <c r="I928" s="100">
        <f>G928*H928</f>
        <v>0</v>
      </c>
      <c r="J928" s="39" t="s">
        <v>3664</v>
      </c>
      <c r="K928" s="40" t="s">
        <v>69</v>
      </c>
      <c r="L928" s="41"/>
      <c r="M928" s="42" t="str">
        <f>HYPERLINK("https://catalog.onliner.by/xmaslights/neonnight/255236", "https://catalog.onliner.by/xmaslights/neonnight/255236")</f>
        <v>https://catalog.onliner.by/xmaslights/neonnight/255236</v>
      </c>
      <c r="N928" s="42" t="str">
        <f>HYPERLINK("https://pronto.by/catalog/product/255-236.html", "https://pronto.by/catalog/product/255-236.html")</f>
        <v>https://pronto.by/catalog/product/255-236.html</v>
      </c>
    </row>
    <row r="929" spans="1:14" customFormat="1" ht="15.6">
      <c r="A929" s="81" t="s">
        <v>3965</v>
      </c>
      <c r="B929" s="67"/>
      <c r="C929" s="67"/>
      <c r="D929" s="32"/>
      <c r="E929" s="32"/>
      <c r="F929" s="32"/>
      <c r="G929" s="52"/>
      <c r="H929" s="52"/>
      <c r="I929" s="52"/>
      <c r="J929" s="32"/>
      <c r="K929" s="32"/>
      <c r="L929" s="33"/>
      <c r="M929" s="33"/>
      <c r="N929" s="34"/>
    </row>
    <row r="930" spans="1:14" customFormat="1" ht="102">
      <c r="A930" s="35" t="s">
        <v>2099</v>
      </c>
      <c r="B930" s="19" t="s">
        <v>2100</v>
      </c>
      <c r="C930" s="20" t="s">
        <v>2101</v>
      </c>
      <c r="D930" s="36" t="s">
        <v>28</v>
      </c>
      <c r="E930" s="37" t="s">
        <v>3281</v>
      </c>
      <c r="F930" s="43">
        <v>236.28</v>
      </c>
      <c r="G930" s="100">
        <f t="shared" si="14"/>
        <v>236.28</v>
      </c>
      <c r="H930" s="101"/>
      <c r="I930" s="100">
        <f>G930*H930</f>
        <v>0</v>
      </c>
      <c r="J930" s="39" t="s">
        <v>3664</v>
      </c>
      <c r="K930" s="40" t="s">
        <v>69</v>
      </c>
      <c r="L930" s="41"/>
      <c r="M930" s="42" t="str">
        <f>HYPERLINK("https://catalog.onliner.by/xmaslights/neonnight/255315", "https://catalog.onliner.by/xmaslights/neonnight/255315")</f>
        <v>https://catalog.onliner.by/xmaslights/neonnight/255315</v>
      </c>
      <c r="N930" s="42" t="str">
        <f>HYPERLINK("https://pronto.by/catalog/prazdnichnaya-svetotehnika/professional-professionalnye-proekty/girlyanda-bahroma-aysikl/bahroma-kauchuk/bahroma-kauchuk-5h07-m/255-315.html", "https://pronto.by/catalog/prazdnichnaya-svetotehnika/professional-professionalnye-proekty/girlyanda-bahroma-aysikl/bahroma-kauchuk/bahroma-kauchuk-5h07-m/255-315.html")</f>
        <v>https://pronto.by/catalog/prazdnichnaya-svetotehnika/professional-professionalnye-proekty/girlyanda-bahroma-aysikl/bahroma-kauchuk/bahroma-kauchuk-5h07-m/255-315.html</v>
      </c>
    </row>
    <row r="931" spans="1:14" customFormat="1" ht="102">
      <c r="A931" s="35" t="s">
        <v>2102</v>
      </c>
      <c r="B931" s="19" t="s">
        <v>2103</v>
      </c>
      <c r="C931" s="20" t="s">
        <v>3966</v>
      </c>
      <c r="D931" s="36" t="s">
        <v>28</v>
      </c>
      <c r="E931" s="37" t="s">
        <v>3281</v>
      </c>
      <c r="F931" s="43">
        <v>252.29999999999998</v>
      </c>
      <c r="G931" s="100">
        <f t="shared" si="14"/>
        <v>252.3</v>
      </c>
      <c r="H931" s="101"/>
      <c r="I931" s="100">
        <f>G931*H931</f>
        <v>0</v>
      </c>
      <c r="J931" s="39" t="s">
        <v>3664</v>
      </c>
      <c r="K931" s="40" t="s">
        <v>69</v>
      </c>
      <c r="L931" s="41"/>
      <c r="M931" s="42" t="str">
        <f>HYPERLINK("https://catalog.onliner.by/xmaslights/neonnight/255365", "https://catalog.onliner.by/xmaslights/neonnight/255365")</f>
        <v>https://catalog.onliner.by/xmaslights/neonnight/255365</v>
      </c>
      <c r="N931" s="42" t="str">
        <f>HYPERLINK("https://pronto.by/catalog/prazdnichnaya-svetotehnika/professional-professionalnye-proekty/girlyanda-bahroma-aysikl/bahroma-kauchuk/bahroma-kauchuk-5h07-m/255-365.html", "https://pronto.by/catalog/prazdnichnaya-svetotehnika/professional-professionalnye-proekty/girlyanda-bahroma-aysikl/bahroma-kauchuk/bahroma-kauchuk-5h07-m/255-365.html")</f>
        <v>https://pronto.by/catalog/prazdnichnaya-svetotehnika/professional-professionalnye-proekty/girlyanda-bahroma-aysikl/bahroma-kauchuk/bahroma-kauchuk-5h07-m/255-365.html</v>
      </c>
    </row>
    <row r="932" spans="1:14" customFormat="1" ht="102">
      <c r="A932" s="35" t="s">
        <v>2104</v>
      </c>
      <c r="B932" s="19" t="s">
        <v>2105</v>
      </c>
      <c r="C932" s="20" t="s">
        <v>3967</v>
      </c>
      <c r="D932" s="36" t="s">
        <v>28</v>
      </c>
      <c r="E932" s="37" t="s">
        <v>3281</v>
      </c>
      <c r="F932" s="43">
        <v>236.28</v>
      </c>
      <c r="G932" s="100">
        <f t="shared" si="14"/>
        <v>236.28</v>
      </c>
      <c r="H932" s="101"/>
      <c r="I932" s="100">
        <f>G932*H932</f>
        <v>0</v>
      </c>
      <c r="J932" s="39" t="s">
        <v>3664</v>
      </c>
      <c r="K932" s="40" t="s">
        <v>69</v>
      </c>
      <c r="L932" s="41"/>
      <c r="M932" s="42" t="str">
        <f>HYPERLINK("https://catalog.onliner.by/xmaslights/neonnight/255376", "https://catalog.onliner.by/xmaslights/neonnight/255376")</f>
        <v>https://catalog.onliner.by/xmaslights/neonnight/255376</v>
      </c>
      <c r="N932" s="42" t="str">
        <f>HYPERLINK("https://pronto.by/catalog/prazdnichnaya-svetotehnika/professional-professionalnye-proekty/girlyanda-bahroma-aysikl/bahroma-kauchuk/bahroma-kauchuk-5h07-m/255-376.html", "https://pronto.by/catalog/prazdnichnaya-svetotehnika/professional-professionalnye-proekty/girlyanda-bahroma-aysikl/bahroma-kauchuk/bahroma-kauchuk-5h07-m/255-376.html")</f>
        <v>https://pronto.by/catalog/prazdnichnaya-svetotehnika/professional-professionalnye-proekty/girlyanda-bahroma-aysikl/bahroma-kauchuk/bahroma-kauchuk-5h07-m/255-376.html</v>
      </c>
    </row>
    <row r="933" spans="1:14" customFormat="1" ht="102">
      <c r="A933" s="35" t="s">
        <v>2106</v>
      </c>
      <c r="B933" s="19" t="s">
        <v>2107</v>
      </c>
      <c r="C933" s="20" t="s">
        <v>3968</v>
      </c>
      <c r="D933" s="36" t="s">
        <v>28</v>
      </c>
      <c r="E933" s="37" t="s">
        <v>3281</v>
      </c>
      <c r="F933" s="43">
        <v>252.29999999999998</v>
      </c>
      <c r="G933" s="100">
        <f t="shared" si="14"/>
        <v>252.3</v>
      </c>
      <c r="H933" s="101"/>
      <c r="I933" s="100">
        <f>G933*H933</f>
        <v>0</v>
      </c>
      <c r="J933" s="39" t="s">
        <v>3664</v>
      </c>
      <c r="K933" s="40" t="s">
        <v>69</v>
      </c>
      <c r="L933" s="41"/>
      <c r="M933" s="42" t="str">
        <f>HYPERLINK("https://catalog.onliner.by/xmaslights/neonnight/255386", "https://catalog.onliner.by/xmaslights/neonnight/255386")</f>
        <v>https://catalog.onliner.by/xmaslights/neonnight/255386</v>
      </c>
      <c r="N933" s="42" t="str">
        <f>HYPERLINK("https://pronto.by/catalog/prazdnichnaya-svetotehnika/professional-professionalnye-proekty/girlyanda-bahroma-aysikl/bahroma-kauchuk/bahroma-kauchuk-5h07-m/255-386.html", "https://pronto.by/catalog/prazdnichnaya-svetotehnika/professional-professionalnye-proekty/girlyanda-bahroma-aysikl/bahroma-kauchuk/bahroma-kauchuk-5h07-m/255-386.html")</f>
        <v>https://pronto.by/catalog/prazdnichnaya-svetotehnika/professional-professionalnye-proekty/girlyanda-bahroma-aysikl/bahroma-kauchuk/bahroma-kauchuk-5h07-m/255-386.html</v>
      </c>
    </row>
    <row r="934" spans="1:14" customFormat="1" ht="82.8">
      <c r="A934" s="35" t="s">
        <v>2108</v>
      </c>
      <c r="B934" s="19" t="s">
        <v>2109</v>
      </c>
      <c r="C934" s="20" t="s">
        <v>2110</v>
      </c>
      <c r="D934" s="36" t="s">
        <v>28</v>
      </c>
      <c r="E934" s="37" t="s">
        <v>3283</v>
      </c>
      <c r="F934" s="43">
        <v>236.28</v>
      </c>
      <c r="G934" s="100">
        <f t="shared" si="14"/>
        <v>236.28</v>
      </c>
      <c r="H934" s="101"/>
      <c r="I934" s="100">
        <f>G934*H934</f>
        <v>0</v>
      </c>
      <c r="J934" s="39" t="s">
        <v>3664</v>
      </c>
      <c r="K934" s="40" t="s">
        <v>41</v>
      </c>
      <c r="L934" s="41"/>
      <c r="M934" s="42" t="str">
        <f>HYPERLINK("https://catalog.onliner.by/xmaslights/neonnight/nn255316", "https://catalog.onliner.by/xmaslights/neonnight/nn255316")</f>
        <v>https://catalog.onliner.by/xmaslights/neonnight/nn255316</v>
      </c>
      <c r="N934" s="42" t="str">
        <f>HYPERLINK("https://pronto.by/catalog/product/255-316.html", "https://pronto.by/catalog/product/255-316.html")</f>
        <v>https://pronto.by/catalog/product/255-316.html</v>
      </c>
    </row>
    <row r="935" spans="1:14" customFormat="1" ht="82.8">
      <c r="A935" s="35" t="s">
        <v>2111</v>
      </c>
      <c r="B935" s="19" t="s">
        <v>2112</v>
      </c>
      <c r="C935" s="20" t="s">
        <v>2113</v>
      </c>
      <c r="D935" s="36" t="s">
        <v>28</v>
      </c>
      <c r="E935" s="37" t="s">
        <v>3281</v>
      </c>
      <c r="F935" s="43">
        <v>252.29999999999998</v>
      </c>
      <c r="G935" s="100">
        <f t="shared" si="14"/>
        <v>252.3</v>
      </c>
      <c r="H935" s="101"/>
      <c r="I935" s="100">
        <f>G935*H935</f>
        <v>0</v>
      </c>
      <c r="J935" s="39" t="s">
        <v>3664</v>
      </c>
      <c r="K935" s="40" t="s">
        <v>41</v>
      </c>
      <c r="L935" s="41"/>
      <c r="M935" s="42" t="str">
        <f>HYPERLINK("https://catalog.onliner.by/xmaslights/neonnight/255306", "https://catalog.onliner.by/xmaslights/neonnight/255306")</f>
        <v>https://catalog.onliner.by/xmaslights/neonnight/255306</v>
      </c>
      <c r="N935" s="42" t="str">
        <f>HYPERLINK("https://pronto.by/catalog/product/255-306.html", "https://pronto.by/catalog/product/255-306.html")</f>
        <v>https://pronto.by/catalog/product/255-306.html</v>
      </c>
    </row>
    <row r="936" spans="1:14" customFormat="1" ht="15.6">
      <c r="A936" s="81" t="s">
        <v>3969</v>
      </c>
      <c r="B936" s="67"/>
      <c r="C936" s="67"/>
      <c r="D936" s="32"/>
      <c r="E936" s="32"/>
      <c r="F936" s="32"/>
      <c r="G936" s="52"/>
      <c r="H936" s="52"/>
      <c r="I936" s="52"/>
      <c r="J936" s="32"/>
      <c r="K936" s="32"/>
      <c r="L936" s="33"/>
      <c r="M936" s="33"/>
      <c r="N936" s="34"/>
    </row>
    <row r="937" spans="1:14" customFormat="1" ht="82.8">
      <c r="A937" s="35" t="s">
        <v>2114</v>
      </c>
      <c r="B937" s="19" t="s">
        <v>2115</v>
      </c>
      <c r="C937" s="20" t="s">
        <v>3970</v>
      </c>
      <c r="D937" s="36" t="s">
        <v>28</v>
      </c>
      <c r="E937" s="37" t="s">
        <v>3283</v>
      </c>
      <c r="F937" s="43">
        <v>318.23999999999995</v>
      </c>
      <c r="G937" s="100">
        <f t="shared" si="14"/>
        <v>318.24</v>
      </c>
      <c r="H937" s="101"/>
      <c r="I937" s="100">
        <f>G937*H937</f>
        <v>0</v>
      </c>
      <c r="J937" s="39" t="s">
        <v>3664</v>
      </c>
      <c r="K937" s="40" t="s">
        <v>69</v>
      </c>
      <c r="L937" s="41"/>
      <c r="M937" s="42" t="str">
        <f>HYPERLINK("https://catalog.onliner.by/xmaslights/neonnight/255285", "https://catalog.onliner.by/xmaslights/neonnight/255285")</f>
        <v>https://catalog.onliner.by/xmaslights/neonnight/255285</v>
      </c>
      <c r="N937" s="42" t="str">
        <f>HYPERLINK("https://pronto.by/catalog/product/255-285.html", "https://pronto.by/catalog/product/255-285.html")</f>
        <v>https://pronto.by/catalog/product/255-285.html</v>
      </c>
    </row>
    <row r="938" spans="1:14" customFormat="1" ht="82.8">
      <c r="A938" s="35" t="s">
        <v>2116</v>
      </c>
      <c r="B938" s="19" t="s">
        <v>2117</v>
      </c>
      <c r="C938" s="20" t="s">
        <v>2118</v>
      </c>
      <c r="D938" s="36" t="s">
        <v>28</v>
      </c>
      <c r="E938" s="37" t="s">
        <v>3283</v>
      </c>
      <c r="F938" s="43">
        <v>339.42</v>
      </c>
      <c r="G938" s="100">
        <f t="shared" si="14"/>
        <v>339.42</v>
      </c>
      <c r="H938" s="101"/>
      <c r="I938" s="100">
        <f>G938*H938</f>
        <v>0</v>
      </c>
      <c r="J938" s="39" t="s">
        <v>3664</v>
      </c>
      <c r="K938" s="40" t="s">
        <v>69</v>
      </c>
      <c r="L938" s="41"/>
      <c r="M938" s="42" t="str">
        <f>HYPERLINK("https://catalog.onliner.by/xmaslights/neonnight/nn255265", "https://catalog.onliner.by/xmaslights/neonnight/nn255265")</f>
        <v>https://catalog.onliner.by/xmaslights/neonnight/nn255265</v>
      </c>
      <c r="N938" s="42" t="str">
        <f>HYPERLINK("https://pronto.by/catalog/product/255-265.html", "https://pronto.by/catalog/product/255-265.html")</f>
        <v>https://pronto.by/catalog/product/255-265.html</v>
      </c>
    </row>
    <row r="939" spans="1:14" customFormat="1" ht="82.8">
      <c r="A939" s="35" t="s">
        <v>2119</v>
      </c>
      <c r="B939" s="19" t="s">
        <v>2120</v>
      </c>
      <c r="C939" s="20" t="s">
        <v>2121</v>
      </c>
      <c r="D939" s="36" t="s">
        <v>28</v>
      </c>
      <c r="E939" s="37" t="s">
        <v>3283</v>
      </c>
      <c r="F939" s="43">
        <v>318.23999999999995</v>
      </c>
      <c r="G939" s="100">
        <f t="shared" si="14"/>
        <v>318.24</v>
      </c>
      <c r="H939" s="101"/>
      <c r="I939" s="100">
        <f>G939*H939</f>
        <v>0</v>
      </c>
      <c r="J939" s="39" t="s">
        <v>3664</v>
      </c>
      <c r="K939" s="40" t="s">
        <v>69</v>
      </c>
      <c r="L939" s="41"/>
      <c r="M939" s="42" t="str">
        <f>HYPERLINK("https://catalog.onliner.by/xmaslights/neonnight/nn255245", "https://catalog.onliner.by/xmaslights/neonnight/nn255245")</f>
        <v>https://catalog.onliner.by/xmaslights/neonnight/nn255245</v>
      </c>
      <c r="N939" s="42" t="str">
        <f>HYPERLINK("https://pronto.by/catalog/product/255-245.html", "https://pronto.by/catalog/product/255-245.html")</f>
        <v>https://pronto.by/catalog/product/255-245.html</v>
      </c>
    </row>
    <row r="940" spans="1:14" customFormat="1" ht="82.8">
      <c r="A940" s="35" t="s">
        <v>2122</v>
      </c>
      <c r="B940" s="19" t="s">
        <v>2123</v>
      </c>
      <c r="C940" s="20" t="s">
        <v>2124</v>
      </c>
      <c r="D940" s="36" t="s">
        <v>28</v>
      </c>
      <c r="E940" s="37" t="s">
        <v>3304</v>
      </c>
      <c r="F940" s="43">
        <v>339.42</v>
      </c>
      <c r="G940" s="100">
        <f t="shared" si="14"/>
        <v>339.42</v>
      </c>
      <c r="H940" s="101"/>
      <c r="I940" s="100">
        <f>G940*H940</f>
        <v>0</v>
      </c>
      <c r="J940" s="39" t="s">
        <v>3664</v>
      </c>
      <c r="K940" s="40" t="s">
        <v>69</v>
      </c>
      <c r="L940" s="41"/>
      <c r="M940" s="42" t="str">
        <f>HYPERLINK("https://catalog.onliner.by/xmaslights/neonnight/nn255255", "https://catalog.onliner.by/xmaslights/neonnight/nn255255")</f>
        <v>https://catalog.onliner.by/xmaslights/neonnight/nn255255</v>
      </c>
      <c r="N940" s="42" t="str">
        <f>HYPERLINK("https://pronto.by/catalog/product/255-255.html", "https://pronto.by/catalog/product/255-255.html")</f>
        <v>https://pronto.by/catalog/product/255-255.html</v>
      </c>
    </row>
    <row r="941" spans="1:14" customFormat="1" ht="82.8">
      <c r="A941" s="35" t="s">
        <v>2125</v>
      </c>
      <c r="B941" s="19" t="s">
        <v>2126</v>
      </c>
      <c r="C941" s="20" t="s">
        <v>2127</v>
      </c>
      <c r="D941" s="36" t="s">
        <v>28</v>
      </c>
      <c r="E941" s="37" t="s">
        <v>3283</v>
      </c>
      <c r="F941" s="43">
        <v>328.8</v>
      </c>
      <c r="G941" s="100">
        <f t="shared" si="14"/>
        <v>328.8</v>
      </c>
      <c r="H941" s="101"/>
      <c r="I941" s="100">
        <f>G941*H941</f>
        <v>0</v>
      </c>
      <c r="J941" s="39" t="s">
        <v>3664</v>
      </c>
      <c r="K941" s="40" t="s">
        <v>69</v>
      </c>
      <c r="L941" s="41"/>
      <c r="M941" s="42" t="str">
        <f>HYPERLINK("https://catalog.onliner.by/xmaslights/neonnight/nn255241", "https://catalog.onliner.by/xmaslights/neonnight/nn255241")</f>
        <v>https://catalog.onliner.by/xmaslights/neonnight/nn255241</v>
      </c>
      <c r="N941" s="42" t="str">
        <f>HYPERLINK("https://pronto.by/catalog/product/255-241.html", "https://pronto.by/catalog/product/255-241.html")</f>
        <v>https://pronto.by/catalog/product/255-241.html</v>
      </c>
    </row>
    <row r="942" spans="1:14" customFormat="1" ht="82.8">
      <c r="A942" s="35" t="s">
        <v>2128</v>
      </c>
      <c r="B942" s="19" t="s">
        <v>2129</v>
      </c>
      <c r="C942" s="20" t="s">
        <v>2130</v>
      </c>
      <c r="D942" s="36" t="s">
        <v>28</v>
      </c>
      <c r="E942" s="37" t="s">
        <v>3292</v>
      </c>
      <c r="F942" s="43">
        <v>286.38</v>
      </c>
      <c r="G942" s="100">
        <f t="shared" si="14"/>
        <v>286.38</v>
      </c>
      <c r="H942" s="101"/>
      <c r="I942" s="100">
        <f>G942*H942</f>
        <v>0</v>
      </c>
      <c r="J942" s="39" t="s">
        <v>3664</v>
      </c>
      <c r="K942" s="40" t="s">
        <v>41</v>
      </c>
      <c r="L942" s="41"/>
      <c r="M942" s="42" t="str">
        <f>HYPERLINK("https://catalog.onliner.by/xmaslights/neonnight/nn255242", "https://catalog.onliner.by/xmaslights/neonnight/nn255242")</f>
        <v>https://catalog.onliner.by/xmaslights/neonnight/nn255242</v>
      </c>
      <c r="N942" s="42" t="str">
        <f>HYPERLINK("https://pronto.by/catalog/product/255-242.html", "https://pronto.by/catalog/product/255-242.html")</f>
        <v>https://pronto.by/catalog/product/255-242.html</v>
      </c>
    </row>
    <row r="943" spans="1:14" customFormat="1" ht="102">
      <c r="A943" s="45" t="s">
        <v>2131</v>
      </c>
      <c r="B943" s="46" t="s">
        <v>2132</v>
      </c>
      <c r="C943" s="54" t="s">
        <v>2133</v>
      </c>
      <c r="D943" s="47" t="s">
        <v>28</v>
      </c>
      <c r="E943" s="48" t="s">
        <v>3308</v>
      </c>
      <c r="F943" s="43">
        <v>339.42</v>
      </c>
      <c r="G943" s="100">
        <f t="shared" si="14"/>
        <v>339.42</v>
      </c>
      <c r="H943" s="101"/>
      <c r="I943" s="100">
        <f>G943*H943</f>
        <v>0</v>
      </c>
      <c r="J943" s="39" t="s">
        <v>3664</v>
      </c>
      <c r="K943" s="40" t="s">
        <v>69</v>
      </c>
      <c r="L943" s="41"/>
      <c r="M943" s="42" t="s">
        <v>3971</v>
      </c>
      <c r="N943" s="42" t="str">
        <f>HYPERLINK("https://pronto.by/catalog/prazdnichnaya-svetotehnika/professional-professionalnye-proekty/girlyanda-bahroma-aysikl/bahroma-kauchuk/bahroma-kauchuk-56h09-m/255-263.html", "https://pronto.by/catalog/prazdnichnaya-svetotehnika/professional-professionalnye-proekty/girlyanda-bahroma-aysikl/bahroma-kauchuk/bahroma-kauchuk-56h09-m/255-263.html")</f>
        <v>https://pronto.by/catalog/prazdnichnaya-svetotehnika/professional-professionalnye-proekty/girlyanda-bahroma-aysikl/bahroma-kauchuk/bahroma-kauchuk-56h09-m/255-263.html</v>
      </c>
    </row>
    <row r="944" spans="1:14" customFormat="1" ht="82.8">
      <c r="A944" s="35" t="s">
        <v>2134</v>
      </c>
      <c r="B944" s="19" t="s">
        <v>2135</v>
      </c>
      <c r="C944" s="20" t="s">
        <v>2136</v>
      </c>
      <c r="D944" s="36" t="s">
        <v>28</v>
      </c>
      <c r="E944" s="37" t="s">
        <v>3304</v>
      </c>
      <c r="F944" s="43">
        <v>328.8</v>
      </c>
      <c r="G944" s="100">
        <f t="shared" si="14"/>
        <v>328.8</v>
      </c>
      <c r="H944" s="101"/>
      <c r="I944" s="100">
        <f>G944*H944</f>
        <v>0</v>
      </c>
      <c r="J944" s="39" t="s">
        <v>3664</v>
      </c>
      <c r="K944" s="40" t="s">
        <v>69</v>
      </c>
      <c r="L944" s="41"/>
      <c r="M944" s="42" t="str">
        <f>HYPERLINK("https://catalog.onliner.by/xmaslights/neonnight/255283", "https://catalog.onliner.by/xmaslights/neonnight/255283")</f>
        <v>https://catalog.onliner.by/xmaslights/neonnight/255283</v>
      </c>
      <c r="N944" s="42" t="str">
        <f>HYPERLINK("https://pronto.by/catalog/product/255-283.html", "https://pronto.by/catalog/product/255-283.html")</f>
        <v>https://pronto.by/catalog/product/255-283.html</v>
      </c>
    </row>
    <row r="945" spans="1:14" customFormat="1" ht="82.8">
      <c r="A945" s="35" t="s">
        <v>2137</v>
      </c>
      <c r="B945" s="19" t="s">
        <v>2138</v>
      </c>
      <c r="C945" s="20" t="s">
        <v>2139</v>
      </c>
      <c r="D945" s="36" t="s">
        <v>28</v>
      </c>
      <c r="E945" s="37" t="s">
        <v>3283</v>
      </c>
      <c r="F945" s="43">
        <v>339.42</v>
      </c>
      <c r="G945" s="100">
        <f t="shared" si="14"/>
        <v>339.42</v>
      </c>
      <c r="H945" s="101"/>
      <c r="I945" s="100">
        <f>G945*H945</f>
        <v>0</v>
      </c>
      <c r="J945" s="39" t="s">
        <v>3664</v>
      </c>
      <c r="K945" s="40" t="s">
        <v>69</v>
      </c>
      <c r="L945" s="41"/>
      <c r="M945" s="42" t="str">
        <f>HYPERLINK("https://catalog.onliner.by/xmaslights/neonnight/nn255253", "https://catalog.onliner.by/xmaslights/neonnight/nn255253")</f>
        <v>https://catalog.onliner.by/xmaslights/neonnight/nn255253</v>
      </c>
      <c r="N945" s="42" t="str">
        <f>HYPERLINK("https://pronto.by/catalog/product/255-253.html", "https://pronto.by/catalog/product/255-253.html")</f>
        <v>https://pronto.by/catalog/product/255-253.html</v>
      </c>
    </row>
    <row r="946" spans="1:14" customFormat="1" ht="82.8">
      <c r="A946" s="35" t="s">
        <v>2140</v>
      </c>
      <c r="B946" s="19" t="s">
        <v>2141</v>
      </c>
      <c r="C946" s="20" t="s">
        <v>2142</v>
      </c>
      <c r="D946" s="36" t="s">
        <v>28</v>
      </c>
      <c r="E946" s="37" t="s">
        <v>3292</v>
      </c>
      <c r="F946" s="43">
        <v>318.23999999999995</v>
      </c>
      <c r="G946" s="100">
        <f t="shared" si="14"/>
        <v>318.24</v>
      </c>
      <c r="H946" s="101"/>
      <c r="I946" s="100">
        <f>G946*H946</f>
        <v>0</v>
      </c>
      <c r="J946" s="39" t="s">
        <v>3664</v>
      </c>
      <c r="K946" s="40" t="s">
        <v>41</v>
      </c>
      <c r="L946" s="41"/>
      <c r="M946" s="42" t="str">
        <f>HYPERLINK("https://catalog.onliner.by/xmaslights/neonnight/nn255243", "https://catalog.onliner.by/xmaslights/neonnight/nn255243")</f>
        <v>https://catalog.onliner.by/xmaslights/neonnight/nn255243</v>
      </c>
      <c r="N946" s="42" t="str">
        <f>HYPERLINK("https://pronto.by/catalog/product/255-243.html", "https://pronto.by/catalog/product/255-243.html")</f>
        <v>https://pronto.by/catalog/product/255-243.html</v>
      </c>
    </row>
    <row r="947" spans="1:14" customFormat="1" ht="82.8">
      <c r="A947" s="35" t="s">
        <v>2143</v>
      </c>
      <c r="B947" s="19" t="s">
        <v>2144</v>
      </c>
      <c r="C947" s="20" t="s">
        <v>2145</v>
      </c>
      <c r="D947" s="36" t="s">
        <v>28</v>
      </c>
      <c r="E947" s="37" t="s">
        <v>3283</v>
      </c>
      <c r="F947" s="43">
        <v>318.23999999999995</v>
      </c>
      <c r="G947" s="100">
        <f t="shared" si="14"/>
        <v>318.24</v>
      </c>
      <c r="H947" s="101"/>
      <c r="I947" s="100">
        <f>G947*H947</f>
        <v>0</v>
      </c>
      <c r="J947" s="39" t="s">
        <v>3664</v>
      </c>
      <c r="K947" s="40" t="s">
        <v>69</v>
      </c>
      <c r="L947" s="41"/>
      <c r="M947" s="42" t="str">
        <f>HYPERLINK("https://catalog.onliner.by/xmaslights/neonnight/255286", "https://catalog.onliner.by/xmaslights/neonnight/255286")</f>
        <v>https://catalog.onliner.by/xmaslights/neonnight/255286</v>
      </c>
      <c r="N947" s="42" t="str">
        <f>HYPERLINK("https://pronto.by/catalog/product/255-286.html", "https://pronto.by/catalog/product/255-286.html")</f>
        <v>https://pronto.by/catalog/product/255-286.html</v>
      </c>
    </row>
    <row r="948" spans="1:14" customFormat="1" ht="82.8">
      <c r="A948" s="35" t="s">
        <v>2146</v>
      </c>
      <c r="B948" s="19" t="s">
        <v>2147</v>
      </c>
      <c r="C948" s="20" t="s">
        <v>2148</v>
      </c>
      <c r="D948" s="36" t="s">
        <v>28</v>
      </c>
      <c r="E948" s="37" t="s">
        <v>3273</v>
      </c>
      <c r="F948" s="43">
        <v>339.42</v>
      </c>
      <c r="G948" s="100">
        <f t="shared" si="14"/>
        <v>339.42</v>
      </c>
      <c r="H948" s="101"/>
      <c r="I948" s="100">
        <f>G948*H948</f>
        <v>0</v>
      </c>
      <c r="J948" s="39" t="s">
        <v>3664</v>
      </c>
      <c r="K948" s="40" t="s">
        <v>69</v>
      </c>
      <c r="L948" s="41"/>
      <c r="M948" s="42" t="str">
        <f>HYPERLINK("https://catalog.onliner.by/xmaslights/neonnight/nn255266", "https://catalog.onliner.by/xmaslights/neonnight/nn255266")</f>
        <v>https://catalog.onliner.by/xmaslights/neonnight/nn255266</v>
      </c>
      <c r="N948" s="42" t="str">
        <f>HYPERLINK("https://pronto.by/catalog/product/255-266.html", "https://pronto.by/catalog/product/255-266.html")</f>
        <v>https://pronto.by/catalog/product/255-266.html</v>
      </c>
    </row>
    <row r="949" spans="1:14" customFormat="1" ht="82.8">
      <c r="A949" s="35" t="s">
        <v>2149</v>
      </c>
      <c r="B949" s="19" t="s">
        <v>2150</v>
      </c>
      <c r="C949" s="20" t="s">
        <v>2151</v>
      </c>
      <c r="D949" s="36" t="s">
        <v>28</v>
      </c>
      <c r="E949" s="37" t="s">
        <v>3283</v>
      </c>
      <c r="F949" s="43">
        <v>318.23999999999995</v>
      </c>
      <c r="G949" s="100">
        <f t="shared" si="14"/>
        <v>318.24</v>
      </c>
      <c r="H949" s="101"/>
      <c r="I949" s="100">
        <f>G949*H949</f>
        <v>0</v>
      </c>
      <c r="J949" s="39" t="s">
        <v>3664</v>
      </c>
      <c r="K949" s="40" t="s">
        <v>69</v>
      </c>
      <c r="L949" s="41"/>
      <c r="M949" s="42" t="str">
        <f>HYPERLINK("https://catalog.onliner.by/xmaslights/neonnight/nn255246", "https://catalog.onliner.by/xmaslights/neonnight/nn255246")</f>
        <v>https://catalog.onliner.by/xmaslights/neonnight/nn255246</v>
      </c>
      <c r="N949" s="42" t="str">
        <f>HYPERLINK("https://pronto.by/catalog/product/255-246.html", "https://pronto.by/catalog/product/255-246.html")</f>
        <v>https://pronto.by/catalog/product/255-246.html</v>
      </c>
    </row>
    <row r="950" spans="1:14" customFormat="1" ht="82.8">
      <c r="A950" s="35" t="s">
        <v>2152</v>
      </c>
      <c r="B950" s="19" t="s">
        <v>2153</v>
      </c>
      <c r="C950" s="20" t="s">
        <v>2154</v>
      </c>
      <c r="D950" s="36" t="s">
        <v>28</v>
      </c>
      <c r="E950" s="37" t="s">
        <v>3283</v>
      </c>
      <c r="F950" s="43">
        <v>339.42</v>
      </c>
      <c r="G950" s="100">
        <f t="shared" si="14"/>
        <v>339.42</v>
      </c>
      <c r="H950" s="101"/>
      <c r="I950" s="100">
        <f>G950*H950</f>
        <v>0</v>
      </c>
      <c r="J950" s="39" t="s">
        <v>3664</v>
      </c>
      <c r="K950" s="40" t="s">
        <v>69</v>
      </c>
      <c r="L950" s="41"/>
      <c r="M950" s="42" t="str">
        <f>HYPERLINK("https://catalog.onliner.by/xmaslights/neonnight/nn255256", "https://catalog.onliner.by/xmaslights/neonnight/nn255256")</f>
        <v>https://catalog.onliner.by/xmaslights/neonnight/nn255256</v>
      </c>
      <c r="N950" s="42" t="str">
        <f>HYPERLINK("https://pronto.by/catalog/product/255-256.html", "https://pronto.by/catalog/product/255-256.html")</f>
        <v>https://pronto.by/catalog/product/255-256.html</v>
      </c>
    </row>
    <row r="951" spans="1:14" customFormat="1" ht="15.6">
      <c r="A951" s="81" t="s">
        <v>3972</v>
      </c>
      <c r="B951" s="67"/>
      <c r="C951" s="67"/>
      <c r="D951" s="32"/>
      <c r="E951" s="32"/>
      <c r="F951" s="32"/>
      <c r="G951" s="52"/>
      <c r="H951" s="52"/>
      <c r="I951" s="52"/>
      <c r="J951" s="32"/>
      <c r="K951" s="32"/>
      <c r="L951" s="33"/>
      <c r="M951" s="33"/>
      <c r="N951" s="34"/>
    </row>
    <row r="952" spans="1:14" customFormat="1" ht="82.8">
      <c r="A952" s="35" t="s">
        <v>3973</v>
      </c>
      <c r="B952" s="19" t="s">
        <v>3974</v>
      </c>
      <c r="C952" s="20" t="s">
        <v>3975</v>
      </c>
      <c r="D952" s="36" t="s">
        <v>28</v>
      </c>
      <c r="E952" s="37" t="s">
        <v>3285</v>
      </c>
      <c r="F952" s="43">
        <v>740.64</v>
      </c>
      <c r="G952" s="100">
        <f t="shared" si="14"/>
        <v>740.64</v>
      </c>
      <c r="H952" s="101"/>
      <c r="I952" s="100">
        <f>G952*H952</f>
        <v>0</v>
      </c>
      <c r="J952" s="39" t="s">
        <v>3664</v>
      </c>
      <c r="K952" s="40" t="s">
        <v>41</v>
      </c>
      <c r="L952" s="41"/>
      <c r="M952" s="42" t="str">
        <f>HYPERLINK("https://catalog.onliner.by/xmaslights/neonnight/255295", "https://catalog.onliner.by/xmaslights/neonnight/255295")</f>
        <v>https://catalog.onliner.by/xmaslights/neonnight/255295</v>
      </c>
      <c r="N952" s="42" t="str">
        <f>HYPERLINK("https://pronto.by/catalog/product/255-295.html", "https://pronto.by/catalog/product/255-295.html")</f>
        <v>https://pronto.by/catalog/product/255-295.html</v>
      </c>
    </row>
    <row r="953" spans="1:14" customFormat="1" ht="82.8">
      <c r="A953" s="35" t="s">
        <v>3976</v>
      </c>
      <c r="B953" s="19" t="s">
        <v>3977</v>
      </c>
      <c r="C953" s="20" t="s">
        <v>3978</v>
      </c>
      <c r="D953" s="36" t="s">
        <v>28</v>
      </c>
      <c r="E953" s="37" t="s">
        <v>3292</v>
      </c>
      <c r="F953" s="43">
        <v>740.64</v>
      </c>
      <c r="G953" s="100">
        <f t="shared" si="14"/>
        <v>740.64</v>
      </c>
      <c r="H953" s="101"/>
      <c r="I953" s="100">
        <f>G953*H953</f>
        <v>0</v>
      </c>
      <c r="J953" s="39" t="s">
        <v>3664</v>
      </c>
      <c r="K953" s="40" t="s">
        <v>69</v>
      </c>
      <c r="L953" s="41"/>
      <c r="M953" s="42" t="str">
        <f>HYPERLINK("https://catalog.onliner.by/xmaslights/neonnight/255296", "https://catalog.onliner.by/xmaslights/neonnight/255296")</f>
        <v>https://catalog.onliner.by/xmaslights/neonnight/255296</v>
      </c>
      <c r="N953" s="42" t="str">
        <f>HYPERLINK("https://pronto.by/catalog/product/255-296.html", "https://pronto.by/catalog/product/255-296.html")</f>
        <v>https://pronto.by/catalog/product/255-296.html</v>
      </c>
    </row>
    <row r="954" spans="1:14" customFormat="1" ht="15.6">
      <c r="A954" s="81" t="s">
        <v>3979</v>
      </c>
      <c r="B954" s="67"/>
      <c r="C954" s="67"/>
      <c r="D954" s="32"/>
      <c r="E954" s="32"/>
      <c r="F954" s="32"/>
      <c r="G954" s="52"/>
      <c r="H954" s="52"/>
      <c r="I954" s="52"/>
      <c r="J954" s="32"/>
      <c r="K954" s="32"/>
      <c r="L954" s="33"/>
      <c r="M954" s="33"/>
      <c r="N954" s="34"/>
    </row>
    <row r="955" spans="1:14" customFormat="1" ht="15.6">
      <c r="A955" s="81" t="s">
        <v>3980</v>
      </c>
      <c r="B955" s="67"/>
      <c r="C955" s="67"/>
      <c r="D955" s="32"/>
      <c r="E955" s="32"/>
      <c r="F955" s="32"/>
      <c r="G955" s="52"/>
      <c r="H955" s="52"/>
      <c r="I955" s="52"/>
      <c r="J955" s="32"/>
      <c r="K955" s="32"/>
      <c r="L955" s="33"/>
      <c r="M955" s="33"/>
      <c r="N955" s="34"/>
    </row>
    <row r="956" spans="1:14" customFormat="1" ht="69">
      <c r="A956" s="35" t="s">
        <v>2155</v>
      </c>
      <c r="B956" s="19" t="s">
        <v>2156</v>
      </c>
      <c r="C956" s="20" t="s">
        <v>2157</v>
      </c>
      <c r="D956" s="36" t="s">
        <v>28</v>
      </c>
      <c r="E956" s="37" t="s">
        <v>3283</v>
      </c>
      <c r="F956" s="43">
        <v>186.72000000000003</v>
      </c>
      <c r="G956" s="100">
        <f t="shared" si="14"/>
        <v>186.72</v>
      </c>
      <c r="H956" s="101"/>
      <c r="I956" s="100">
        <f>G956*H956</f>
        <v>0</v>
      </c>
      <c r="J956" s="39" t="s">
        <v>3336</v>
      </c>
      <c r="K956" s="40" t="s">
        <v>41</v>
      </c>
      <c r="L956" s="41"/>
      <c r="M956" s="42" t="str">
        <f>HYPERLINK("https://catalog.onliner.by/xmaslights/neonnight/nn215011", "https://catalog.onliner.by/xmaslights/neonnight/nn215011")</f>
        <v>https://catalog.onliner.by/xmaslights/neonnight/nn215011</v>
      </c>
      <c r="N956" s="42" t="str">
        <f>HYPERLINK("https://pronto.by/catalog/product/215-011.html", "https://pronto.by/catalog/product/215-011.html")</f>
        <v>https://pronto.by/catalog/product/215-011.html</v>
      </c>
    </row>
    <row r="957" spans="1:14" customFormat="1" ht="69">
      <c r="A957" s="35" t="s">
        <v>2158</v>
      </c>
      <c r="B957" s="19" t="s">
        <v>2159</v>
      </c>
      <c r="C957" s="20" t="s">
        <v>2160</v>
      </c>
      <c r="D957" s="36" t="s">
        <v>28</v>
      </c>
      <c r="E957" s="37" t="s">
        <v>3283</v>
      </c>
      <c r="F957" s="43">
        <v>230.46</v>
      </c>
      <c r="G957" s="100">
        <f t="shared" si="14"/>
        <v>230.46</v>
      </c>
      <c r="H957" s="101"/>
      <c r="I957" s="100">
        <f>G957*H957</f>
        <v>0</v>
      </c>
      <c r="J957" s="39" t="s">
        <v>3336</v>
      </c>
      <c r="K957" s="40" t="s">
        <v>41</v>
      </c>
      <c r="L957" s="41"/>
      <c r="M957" s="42" t="str">
        <f>HYPERLINK("https://catalog.onliner.by/xmaslights/neonnight/nn215012", "https://catalog.onliner.by/xmaslights/neonnight/nn215012")</f>
        <v>https://catalog.onliner.by/xmaslights/neonnight/nn215012</v>
      </c>
      <c r="N957" s="42" t="str">
        <f>HYPERLINK("https://pronto.by/catalog/product/215-012.html", "https://pronto.by/catalog/product/215-012.html")</f>
        <v>https://pronto.by/catalog/product/215-012.html</v>
      </c>
    </row>
    <row r="958" spans="1:14" customFormat="1" ht="82.8">
      <c r="A958" s="35" t="s">
        <v>2161</v>
      </c>
      <c r="B958" s="19" t="s">
        <v>2162</v>
      </c>
      <c r="C958" s="20" t="s">
        <v>2163</v>
      </c>
      <c r="D958" s="36" t="s">
        <v>28</v>
      </c>
      <c r="E958" s="37" t="s">
        <v>3283</v>
      </c>
      <c r="F958" s="43">
        <v>122.46000000000001</v>
      </c>
      <c r="G958" s="100">
        <f t="shared" si="14"/>
        <v>122.46</v>
      </c>
      <c r="H958" s="101"/>
      <c r="I958" s="100">
        <f>G958*H958</f>
        <v>0</v>
      </c>
      <c r="J958" s="39" t="s">
        <v>3336</v>
      </c>
      <c r="K958" s="40" t="s">
        <v>41</v>
      </c>
      <c r="L958" s="41" t="s">
        <v>3981</v>
      </c>
      <c r="M958" s="42" t="str">
        <f>HYPERLINK("https://catalog.onliner.by/xmaslights/neonnight/nn215013", "https://catalog.onliner.by/xmaslights/neonnight/nn215013")</f>
        <v>https://catalog.onliner.by/xmaslights/neonnight/nn215013</v>
      </c>
      <c r="N958" s="42" t="str">
        <f>HYPERLINK("https://pronto.by/catalog/product/215-013.html", "https://pronto.by/catalog/product/215-013.html")</f>
        <v>https://pronto.by/catalog/product/215-013.html</v>
      </c>
    </row>
    <row r="959" spans="1:14" customFormat="1" ht="15.6">
      <c r="A959" s="81" t="s">
        <v>3982</v>
      </c>
      <c r="B959" s="67"/>
      <c r="C959" s="67"/>
      <c r="D959" s="32"/>
      <c r="E959" s="32"/>
      <c r="F959" s="32"/>
      <c r="G959" s="52"/>
      <c r="H959" s="52"/>
      <c r="I959" s="52"/>
      <c r="J959" s="32"/>
      <c r="K959" s="32"/>
      <c r="L959" s="33"/>
      <c r="M959" s="33"/>
      <c r="N959" s="34"/>
    </row>
    <row r="960" spans="1:14" customFormat="1" ht="69">
      <c r="A960" s="35" t="s">
        <v>2164</v>
      </c>
      <c r="B960" s="19" t="s">
        <v>2165</v>
      </c>
      <c r="C960" s="20" t="s">
        <v>2166</v>
      </c>
      <c r="D960" s="36" t="s">
        <v>28</v>
      </c>
      <c r="E960" s="37" t="s">
        <v>3283</v>
      </c>
      <c r="F960" s="43">
        <v>356.09999999999997</v>
      </c>
      <c r="G960" s="100">
        <f t="shared" si="14"/>
        <v>356.1</v>
      </c>
      <c r="H960" s="101"/>
      <c r="I960" s="100">
        <f>G960*H960</f>
        <v>0</v>
      </c>
      <c r="J960" s="39" t="s">
        <v>3336</v>
      </c>
      <c r="K960" s="40" t="s">
        <v>69</v>
      </c>
      <c r="L960" s="41" t="s">
        <v>3983</v>
      </c>
      <c r="M960" s="42" t="str">
        <f>HYPERLINK("https://catalog.onliner.by/xmaslights/neonnight/215045215045", "https://catalog.onliner.by/xmaslights/neonnight/215045215045")</f>
        <v>https://catalog.onliner.by/xmaslights/neonnight/215045215045</v>
      </c>
      <c r="N960" s="42" t="str">
        <f>HYPERLINK("https://pronto.by/catalog/product/215-045.html", "https://pronto.by/catalog/product/215-045.html")</f>
        <v>https://pronto.by/catalog/product/215-045.html</v>
      </c>
    </row>
    <row r="961" spans="1:14" customFormat="1" ht="69">
      <c r="A961" s="35" t="s">
        <v>2167</v>
      </c>
      <c r="B961" s="19" t="s">
        <v>2168</v>
      </c>
      <c r="C961" s="20" t="s">
        <v>2169</v>
      </c>
      <c r="D961" s="36" t="s">
        <v>28</v>
      </c>
      <c r="E961" s="37" t="s">
        <v>3273</v>
      </c>
      <c r="F961" s="43">
        <v>356.09999999999997</v>
      </c>
      <c r="G961" s="100">
        <f t="shared" si="14"/>
        <v>356.1</v>
      </c>
      <c r="H961" s="101"/>
      <c r="I961" s="100">
        <f>G961*H961</f>
        <v>0</v>
      </c>
      <c r="J961" s="39" t="s">
        <v>3336</v>
      </c>
      <c r="K961" s="40" t="s">
        <v>69</v>
      </c>
      <c r="L961" s="41"/>
      <c r="M961" s="42" t="str">
        <f>HYPERLINK("https://catalog.onliner.by/xmaslights/neonnight/215043215043", "https://catalog.onliner.by/xmaslights/neonnight/215043215043")</f>
        <v>https://catalog.onliner.by/xmaslights/neonnight/215043215043</v>
      </c>
      <c r="N961" s="42" t="str">
        <f>HYPERLINK("https://pronto.by/catalog/product/215-043.html", "https://pronto.by/catalog/product/215-043.html")</f>
        <v>https://pronto.by/catalog/product/215-043.html</v>
      </c>
    </row>
    <row r="962" spans="1:14" customFormat="1" ht="69">
      <c r="A962" s="35" t="s">
        <v>2170</v>
      </c>
      <c r="B962" s="19" t="s">
        <v>2171</v>
      </c>
      <c r="C962" s="20" t="s">
        <v>2172</v>
      </c>
      <c r="D962" s="36" t="s">
        <v>28</v>
      </c>
      <c r="E962" s="37" t="s">
        <v>3273</v>
      </c>
      <c r="F962" s="43">
        <v>356.09999999999997</v>
      </c>
      <c r="G962" s="100">
        <f t="shared" si="14"/>
        <v>356.1</v>
      </c>
      <c r="H962" s="101"/>
      <c r="I962" s="100">
        <f>G962*H962</f>
        <v>0</v>
      </c>
      <c r="J962" s="39" t="s">
        <v>3336</v>
      </c>
      <c r="K962" s="40" t="s">
        <v>69</v>
      </c>
      <c r="L962" s="41"/>
      <c r="M962" s="42" t="str">
        <f>HYPERLINK("https://catalog.onliner.by/xmaslights/neonnight/215046215046", "https://catalog.onliner.by/xmaslights/neonnight/215046215046")</f>
        <v>https://catalog.onliner.by/xmaslights/neonnight/215046215046</v>
      </c>
      <c r="N962" s="42" t="str">
        <f>HYPERLINK("https://pronto.by/catalog/product/215-046.html", "https://pronto.by/catalog/product/215-046.html")</f>
        <v>https://pronto.by/catalog/product/215-046.html</v>
      </c>
    </row>
    <row r="963" spans="1:14" customFormat="1" ht="69">
      <c r="A963" s="35" t="s">
        <v>2173</v>
      </c>
      <c r="B963" s="19" t="s">
        <v>2174</v>
      </c>
      <c r="C963" s="20" t="s">
        <v>2175</v>
      </c>
      <c r="D963" s="36" t="s">
        <v>28</v>
      </c>
      <c r="E963" s="37" t="s">
        <v>3283</v>
      </c>
      <c r="F963" s="43">
        <v>356.09999999999997</v>
      </c>
      <c r="G963" s="100">
        <f t="shared" si="14"/>
        <v>356.1</v>
      </c>
      <c r="H963" s="101"/>
      <c r="I963" s="100">
        <f>G963*H963</f>
        <v>0</v>
      </c>
      <c r="J963" s="39" t="s">
        <v>3336</v>
      </c>
      <c r="K963" s="40" t="s">
        <v>69</v>
      </c>
      <c r="L963" s="41" t="s">
        <v>3984</v>
      </c>
      <c r="M963" s="42" t="str">
        <f>HYPERLINK("https://catalog.onliner.by/xmaslights/neonnight/nn215021", "https://catalog.onliner.by/xmaslights/neonnight/nn215021")</f>
        <v>https://catalog.onliner.by/xmaslights/neonnight/nn215021</v>
      </c>
      <c r="N963" s="42" t="str">
        <f>HYPERLINK("https://pronto.by/catalog/product/215-021.html", "https://pronto.by/catalog/product/215-021.html")</f>
        <v>https://pronto.by/catalog/product/215-021.html</v>
      </c>
    </row>
    <row r="964" spans="1:14" customFormat="1" ht="69">
      <c r="A964" s="35" t="s">
        <v>2176</v>
      </c>
      <c r="B964" s="19" t="s">
        <v>2177</v>
      </c>
      <c r="C964" s="20" t="s">
        <v>2178</v>
      </c>
      <c r="D964" s="36" t="s">
        <v>28</v>
      </c>
      <c r="E964" s="37" t="s">
        <v>3283</v>
      </c>
      <c r="F964" s="43">
        <v>356.09999999999997</v>
      </c>
      <c r="G964" s="100">
        <f t="shared" si="14"/>
        <v>356.1</v>
      </c>
      <c r="H964" s="101"/>
      <c r="I964" s="100">
        <f>G964*H964</f>
        <v>0</v>
      </c>
      <c r="J964" s="39" t="s">
        <v>3336</v>
      </c>
      <c r="K964" s="40" t="s">
        <v>41</v>
      </c>
      <c r="L964" s="41" t="s">
        <v>3985</v>
      </c>
      <c r="M964" s="42" t="str">
        <f>HYPERLINK("https://catalog.onliner.by/xmaslights/neonnight/nn215022", "https://catalog.onliner.by/xmaslights/neonnight/nn215022")</f>
        <v>https://catalog.onliner.by/xmaslights/neonnight/nn215022</v>
      </c>
      <c r="N964" s="42" t="str">
        <f>HYPERLINK("https://pronto.by/catalog/product/215-022.html", "https://pronto.by/catalog/product/215-022.html")</f>
        <v>https://pronto.by/catalog/product/215-022.html</v>
      </c>
    </row>
    <row r="965" spans="1:14" customFormat="1" ht="82.8">
      <c r="A965" s="35" t="s">
        <v>2179</v>
      </c>
      <c r="B965" s="19" t="s">
        <v>2180</v>
      </c>
      <c r="C965" s="20" t="s">
        <v>2181</v>
      </c>
      <c r="D965" s="36" t="s">
        <v>28</v>
      </c>
      <c r="E965" s="37" t="s">
        <v>3283</v>
      </c>
      <c r="F965" s="43">
        <v>259.62</v>
      </c>
      <c r="G965" s="100">
        <f t="shared" si="14"/>
        <v>259.62</v>
      </c>
      <c r="H965" s="101"/>
      <c r="I965" s="100">
        <f>G965*H965</f>
        <v>0</v>
      </c>
      <c r="J965" s="39" t="s">
        <v>3336</v>
      </c>
      <c r="K965" s="40" t="s">
        <v>41</v>
      </c>
      <c r="L965" s="41"/>
      <c r="M965" s="42" t="str">
        <f>HYPERLINK("https://catalog.onliner.by/xmaslights/neonnight/nn215023", "https://catalog.onliner.by/xmaslights/neonnight/nn215023")</f>
        <v>https://catalog.onliner.by/xmaslights/neonnight/nn215023</v>
      </c>
      <c r="N965" s="42" t="str">
        <f>HYPERLINK("https://pronto.by/catalog/product/215-023.html", "https://pronto.by/catalog/product/215-023.html")</f>
        <v>https://pronto.by/catalog/product/215-023.html</v>
      </c>
    </row>
    <row r="966" spans="1:14" customFormat="1" ht="69">
      <c r="A966" s="35" t="s">
        <v>2182</v>
      </c>
      <c r="B966" s="19" t="s">
        <v>2183</v>
      </c>
      <c r="C966" s="20" t="s">
        <v>2184</v>
      </c>
      <c r="D966" s="36" t="s">
        <v>28</v>
      </c>
      <c r="E966" s="37" t="s">
        <v>3283</v>
      </c>
      <c r="F966" s="43">
        <v>356.09999999999997</v>
      </c>
      <c r="G966" s="100">
        <f t="shared" si="14"/>
        <v>356.1</v>
      </c>
      <c r="H966" s="101"/>
      <c r="I966" s="100">
        <f>G966*H966</f>
        <v>0</v>
      </c>
      <c r="J966" s="39" t="s">
        <v>3336</v>
      </c>
      <c r="K966" s="40" t="s">
        <v>41</v>
      </c>
      <c r="L966" s="41" t="s">
        <v>3986</v>
      </c>
      <c r="M966" s="42" t="str">
        <f>HYPERLINK("https://catalog.onliner.by/xmaslights/neonnight/nn215029", "https://catalog.onliner.by/xmaslights/neonnight/nn215029")</f>
        <v>https://catalog.onliner.by/xmaslights/neonnight/nn215029</v>
      </c>
      <c r="N966" s="42" t="str">
        <f>HYPERLINK("https://pronto.by/catalog/product/215-029.html", "https://pronto.by/catalog/product/215-029.html")</f>
        <v>https://pronto.by/catalog/product/215-029.html</v>
      </c>
    </row>
    <row r="967" spans="1:14" customFormat="1" ht="69">
      <c r="A967" s="35" t="s">
        <v>2185</v>
      </c>
      <c r="B967" s="19" t="s">
        <v>2186</v>
      </c>
      <c r="C967" s="20" t="s">
        <v>2187</v>
      </c>
      <c r="D967" s="36" t="s">
        <v>28</v>
      </c>
      <c r="E967" s="37" t="s">
        <v>3273</v>
      </c>
      <c r="F967" s="43">
        <v>356.09999999999997</v>
      </c>
      <c r="G967" s="100">
        <f t="shared" si="14"/>
        <v>356.1</v>
      </c>
      <c r="H967" s="101"/>
      <c r="I967" s="100">
        <f>G967*H967</f>
        <v>0</v>
      </c>
      <c r="J967" s="39" t="s">
        <v>3336</v>
      </c>
      <c r="K967" s="40" t="s">
        <v>69</v>
      </c>
      <c r="L967" s="41"/>
      <c r="M967" s="42" t="str">
        <f>HYPERLINK("https://catalog.onliner.by/xmaslights/neonnight/215026215026", "https://catalog.onliner.by/xmaslights/neonnight/215026215026")</f>
        <v>https://catalog.onliner.by/xmaslights/neonnight/215026215026</v>
      </c>
      <c r="N967" s="42" t="str">
        <f>HYPERLINK("https://pronto.by/catalog/product/215-026.html", "https://pronto.by/catalog/product/215-026.html")</f>
        <v>https://pronto.by/catalog/product/215-026.html</v>
      </c>
    </row>
    <row r="968" spans="1:14" customFormat="1" ht="15.6">
      <c r="A968" s="81" t="s">
        <v>3987</v>
      </c>
      <c r="B968" s="67"/>
      <c r="C968" s="67"/>
      <c r="D968" s="32"/>
      <c r="E968" s="32"/>
      <c r="F968" s="32"/>
      <c r="G968" s="52"/>
      <c r="H968" s="52"/>
      <c r="I968" s="52"/>
      <c r="J968" s="32"/>
      <c r="K968" s="32"/>
      <c r="L968" s="33"/>
      <c r="M968" s="33"/>
      <c r="N968" s="34"/>
    </row>
    <row r="969" spans="1:14" customFormat="1" ht="69">
      <c r="A969" s="35" t="s">
        <v>2188</v>
      </c>
      <c r="B969" s="19" t="s">
        <v>2189</v>
      </c>
      <c r="C969" s="20" t="s">
        <v>2190</v>
      </c>
      <c r="D969" s="36" t="s">
        <v>28</v>
      </c>
      <c r="E969" s="37" t="s">
        <v>3283</v>
      </c>
      <c r="F969" s="43">
        <v>180.42</v>
      </c>
      <c r="G969" s="100">
        <f t="shared" si="14"/>
        <v>180.42</v>
      </c>
      <c r="H969" s="101"/>
      <c r="I969" s="100">
        <f>G969*H969</f>
        <v>0</v>
      </c>
      <c r="J969" s="39" t="s">
        <v>3336</v>
      </c>
      <c r="K969" s="40" t="s">
        <v>69</v>
      </c>
      <c r="L969" s="41" t="s">
        <v>3988</v>
      </c>
      <c r="M969" s="42" t="str">
        <f>HYPERLINK("https://catalog.onliner.by/xmaslights/neonnight/215115215115", "https://catalog.onliner.by/xmaslights/neonnight/215115215115")</f>
        <v>https://catalog.onliner.by/xmaslights/neonnight/215115215115</v>
      </c>
      <c r="N969" s="42" t="str">
        <f>HYPERLINK("https://pronto.by/catalog/product/215-115.html", "https://pronto.by/catalog/product/215-115.html")</f>
        <v>https://pronto.by/catalog/product/215-115.html</v>
      </c>
    </row>
    <row r="970" spans="1:14" customFormat="1" ht="69">
      <c r="A970" s="35" t="s">
        <v>2191</v>
      </c>
      <c r="B970" s="19" t="s">
        <v>2192</v>
      </c>
      <c r="C970" s="20" t="s">
        <v>2193</v>
      </c>
      <c r="D970" s="36" t="s">
        <v>28</v>
      </c>
      <c r="E970" s="37" t="s">
        <v>3283</v>
      </c>
      <c r="F970" s="43">
        <v>122.58</v>
      </c>
      <c r="G970" s="100">
        <f t="shared" si="14"/>
        <v>122.58</v>
      </c>
      <c r="H970" s="101"/>
      <c r="I970" s="100">
        <f>G970*H970</f>
        <v>0</v>
      </c>
      <c r="J970" s="39" t="s">
        <v>3336</v>
      </c>
      <c r="K970" s="40" t="s">
        <v>41</v>
      </c>
      <c r="L970" s="41"/>
      <c r="M970" s="42" t="str">
        <f>HYPERLINK("https://catalog.onliner.by/xmaslights/neonnight/nn215119", "https://catalog.onliner.by/xmaslights/neonnight/nn215119")</f>
        <v>https://catalog.onliner.by/xmaslights/neonnight/nn215119</v>
      </c>
      <c r="N970" s="42" t="str">
        <f>HYPERLINK("https://pronto.by/catalog/product/215-119.html", "https://pronto.by/catalog/product/215-119.html")</f>
        <v>https://pronto.by/catalog/product/215-119.html</v>
      </c>
    </row>
    <row r="971" spans="1:14" customFormat="1" ht="69">
      <c r="A971" s="35" t="s">
        <v>2194</v>
      </c>
      <c r="B971" s="19" t="s">
        <v>2195</v>
      </c>
      <c r="C971" s="20" t="s">
        <v>2196</v>
      </c>
      <c r="D971" s="36" t="s">
        <v>28</v>
      </c>
      <c r="E971" s="37" t="s">
        <v>3283</v>
      </c>
      <c r="F971" s="43">
        <v>180.42</v>
      </c>
      <c r="G971" s="100">
        <f t="shared" si="14"/>
        <v>180.42</v>
      </c>
      <c r="H971" s="101"/>
      <c r="I971" s="100">
        <f>G971*H971</f>
        <v>0</v>
      </c>
      <c r="J971" s="39" t="s">
        <v>3336</v>
      </c>
      <c r="K971" s="40" t="s">
        <v>69</v>
      </c>
      <c r="L971" s="41"/>
      <c r="M971" s="42" t="str">
        <f>HYPERLINK("https://catalog.onliner.by/xmaslights/neonnight/215116215116", "https://catalog.onliner.by/xmaslights/neonnight/215116215116")</f>
        <v>https://catalog.onliner.by/xmaslights/neonnight/215116215116</v>
      </c>
      <c r="N971" s="42" t="str">
        <f>HYPERLINK("https://pronto.by/catalog/product/215-116.html", "https://pronto.by/catalog/product/215-116.html")</f>
        <v>https://pronto.by/catalog/product/215-116.html</v>
      </c>
    </row>
    <row r="972" spans="1:14" customFormat="1" ht="15.6">
      <c r="A972" s="81" t="s">
        <v>3989</v>
      </c>
      <c r="B972" s="67"/>
      <c r="C972" s="67"/>
      <c r="D972" s="32"/>
      <c r="E972" s="32"/>
      <c r="F972" s="32"/>
      <c r="G972" s="52"/>
      <c r="H972" s="52"/>
      <c r="I972" s="52"/>
      <c r="J972" s="32"/>
      <c r="K972" s="32"/>
      <c r="L972" s="33"/>
      <c r="M972" s="33"/>
      <c r="N972" s="34"/>
    </row>
    <row r="973" spans="1:14" customFormat="1" ht="82.8">
      <c r="A973" s="35" t="s">
        <v>2197</v>
      </c>
      <c r="B973" s="19" t="s">
        <v>2198</v>
      </c>
      <c r="C973" s="20" t="s">
        <v>2199</v>
      </c>
      <c r="D973" s="36" t="s">
        <v>28</v>
      </c>
      <c r="E973" s="37" t="s">
        <v>3283</v>
      </c>
      <c r="F973" s="43">
        <v>166.2</v>
      </c>
      <c r="G973" s="100">
        <f t="shared" si="14"/>
        <v>166.2</v>
      </c>
      <c r="H973" s="101"/>
      <c r="I973" s="100">
        <f>G973*H973</f>
        <v>0</v>
      </c>
      <c r="J973" s="39" t="s">
        <v>3336</v>
      </c>
      <c r="K973" s="40" t="s">
        <v>41</v>
      </c>
      <c r="L973" s="41"/>
      <c r="M973" s="42" t="str">
        <f>HYPERLINK("https://catalog.onliner.by/xmaslights/neonnight/neon215055", "https://catalog.onliner.by/xmaslights/neonnight/neon215055")</f>
        <v>https://catalog.onliner.by/xmaslights/neonnight/neon215055</v>
      </c>
      <c r="N973" s="42" t="str">
        <f>HYPERLINK("https://pronto.by/catalog/prazdnichnaya-svetotehnika/professional-professionalnye-proekty/girlyanda-set/set-pvh/set-pvh-15h2h2-m/215-055.html", "https://pronto.by/catalog/prazdnichnaya-svetotehnika/professional-professionalnye-proekty/girlyanda-set/set-pvh/set-pvh-15h2h2-m/215-055.html")</f>
        <v>https://pronto.by/catalog/prazdnichnaya-svetotehnika/professional-professionalnye-proekty/girlyanda-set/set-pvh/set-pvh-15h2h2-m/215-055.html</v>
      </c>
    </row>
    <row r="974" spans="1:14" customFormat="1" ht="82.8">
      <c r="A974" s="35" t="s">
        <v>2200</v>
      </c>
      <c r="B974" s="19" t="s">
        <v>2201</v>
      </c>
      <c r="C974" s="20" t="s">
        <v>2202</v>
      </c>
      <c r="D974" s="36" t="s">
        <v>28</v>
      </c>
      <c r="E974" s="37" t="s">
        <v>3283</v>
      </c>
      <c r="F974" s="43">
        <v>157.44000000000003</v>
      </c>
      <c r="G974" s="100">
        <f t="shared" si="14"/>
        <v>157.44</v>
      </c>
      <c r="H974" s="101"/>
      <c r="I974" s="100">
        <f>G974*H974</f>
        <v>0</v>
      </c>
      <c r="J974" s="39" t="s">
        <v>3336</v>
      </c>
      <c r="K974" s="40" t="s">
        <v>41</v>
      </c>
      <c r="L974" s="41"/>
      <c r="M974" s="42" t="str">
        <f>HYPERLINK("https://catalog.onliner.by/xmaslights/neonnight/neon215059", "https://catalog.onliner.by/xmaslights/neonnight/neon215059")</f>
        <v>https://catalog.onliner.by/xmaslights/neonnight/neon215059</v>
      </c>
      <c r="N974" s="42" t="str">
        <f>HYPERLINK("https://pronto.by/catalog/prazdnichnaya-svetotehnika/professional-professionalnye-proekty/girlyanda-set/set-pvh/set-pvh-15h2h2-m/215-059.html", "https://pronto.by/catalog/prazdnichnaya-svetotehnika/professional-professionalnye-proekty/girlyanda-set/set-pvh/set-pvh-15h2h2-m/215-059.html")</f>
        <v>https://pronto.by/catalog/prazdnichnaya-svetotehnika/professional-professionalnye-proekty/girlyanda-set/set-pvh/set-pvh-15h2h2-m/215-059.html</v>
      </c>
    </row>
    <row r="975" spans="1:14" customFormat="1" ht="82.8">
      <c r="A975" s="35" t="s">
        <v>2203</v>
      </c>
      <c r="B975" s="19" t="s">
        <v>2204</v>
      </c>
      <c r="C975" s="20" t="s">
        <v>2205</v>
      </c>
      <c r="D975" s="36" t="s">
        <v>28</v>
      </c>
      <c r="E975" s="37" t="s">
        <v>3283</v>
      </c>
      <c r="F975" s="43">
        <v>157.44000000000003</v>
      </c>
      <c r="G975" s="100">
        <f t="shared" ref="G975:G1038" si="15">ROUND(F975-F975*G$3,2)</f>
        <v>157.44</v>
      </c>
      <c r="H975" s="101"/>
      <c r="I975" s="100">
        <f>G975*H975</f>
        <v>0</v>
      </c>
      <c r="J975" s="39" t="s">
        <v>3336</v>
      </c>
      <c r="K975" s="40" t="s">
        <v>41</v>
      </c>
      <c r="L975" s="41"/>
      <c r="M975" s="42" t="str">
        <f>HYPERLINK("https://catalog.onliner.by/xmaslights/neonnight/neon215056", "https://catalog.onliner.by/xmaslights/neonnight/neon215056")</f>
        <v>https://catalog.onliner.by/xmaslights/neonnight/neon215056</v>
      </c>
      <c r="N975" s="42" t="str">
        <f>HYPERLINK("https://pronto.by/catalog/prazdnichnaya-svetotehnika/professional-professionalnye-proekty/girlyanda-set/set-pvh/set-pvh-15h2h2-m/215-056.html", "https://pronto.by/catalog/prazdnichnaya-svetotehnika/professional-professionalnye-proekty/girlyanda-set/set-pvh/set-pvh-15h2h2-m/215-056.html")</f>
        <v>https://pronto.by/catalog/prazdnichnaya-svetotehnika/professional-professionalnye-proekty/girlyanda-set/set-pvh/set-pvh-15h2h2-m/215-056.html</v>
      </c>
    </row>
    <row r="976" spans="1:14" customFormat="1" ht="69">
      <c r="A976" s="35" t="s">
        <v>2206</v>
      </c>
      <c r="B976" s="19" t="s">
        <v>2207</v>
      </c>
      <c r="C976" s="20" t="s">
        <v>2208</v>
      </c>
      <c r="D976" s="36" t="s">
        <v>28</v>
      </c>
      <c r="E976" s="37" t="s">
        <v>3283</v>
      </c>
      <c r="F976" s="43">
        <v>194.94000000000003</v>
      </c>
      <c r="G976" s="100">
        <f t="shared" si="15"/>
        <v>194.94</v>
      </c>
      <c r="H976" s="101"/>
      <c r="I976" s="100">
        <f>G976*H976</f>
        <v>0</v>
      </c>
      <c r="J976" s="39" t="s">
        <v>3336</v>
      </c>
      <c r="K976" s="40" t="s">
        <v>69</v>
      </c>
      <c r="L976" s="41"/>
      <c r="M976" s="42" t="str">
        <f>HYPERLINK("https://catalog.onliner.by/xmaslights/neonnight/215005215005", "https://catalog.onliner.by/xmaslights/neonnight/215005215005")</f>
        <v>https://catalog.onliner.by/xmaslights/neonnight/215005215005</v>
      </c>
      <c r="N976" s="42" t="str">
        <f>HYPERLINK("https://pronto.by/catalog/product/215-005.html", "https://pronto.by/catalog/product/215-005.html")</f>
        <v>https://pronto.by/catalog/product/215-005.html</v>
      </c>
    </row>
    <row r="977" spans="1:14" customFormat="1" ht="82.8">
      <c r="A977" s="35" t="s">
        <v>2209</v>
      </c>
      <c r="B977" s="19" t="s">
        <v>2210</v>
      </c>
      <c r="C977" s="20" t="s">
        <v>2211</v>
      </c>
      <c r="D977" s="36" t="s">
        <v>28</v>
      </c>
      <c r="E977" s="37" t="s">
        <v>3283</v>
      </c>
      <c r="F977" s="43">
        <v>216</v>
      </c>
      <c r="G977" s="100">
        <f t="shared" si="15"/>
        <v>216</v>
      </c>
      <c r="H977" s="101"/>
      <c r="I977" s="100">
        <f>G977*H977</f>
        <v>0</v>
      </c>
      <c r="J977" s="39" t="s">
        <v>3336</v>
      </c>
      <c r="K977" s="40" t="s">
        <v>41</v>
      </c>
      <c r="L977" s="41"/>
      <c r="M977" s="42" t="str">
        <f>HYPERLINK("https://catalog.onliner.by/xmaslights/neonnight/215009215009", "https://catalog.onliner.by/xmaslights/neonnight/215009215009")</f>
        <v>https://catalog.onliner.by/xmaslights/neonnight/215009215009</v>
      </c>
      <c r="N977" s="42" t="str">
        <f>HYPERLINK("https://pronto.by/catalog/product/215-009.html", "https://pronto.by/catalog/product/215-009.html")</f>
        <v>https://pronto.by/catalog/product/215-009.html</v>
      </c>
    </row>
    <row r="978" spans="1:14" customFormat="1" ht="82.8">
      <c r="A978" s="35" t="s">
        <v>2212</v>
      </c>
      <c r="B978" s="19" t="s">
        <v>2213</v>
      </c>
      <c r="C978" s="20" t="s">
        <v>2214</v>
      </c>
      <c r="D978" s="36" t="s">
        <v>28</v>
      </c>
      <c r="E978" s="37" t="s">
        <v>3283</v>
      </c>
      <c r="F978" s="43">
        <v>175.44000000000003</v>
      </c>
      <c r="G978" s="100">
        <f t="shared" si="15"/>
        <v>175.44</v>
      </c>
      <c r="H978" s="101"/>
      <c r="I978" s="100">
        <f>G978*H978</f>
        <v>0</v>
      </c>
      <c r="J978" s="39" t="s">
        <v>3336</v>
      </c>
      <c r="K978" s="40" t="s">
        <v>41</v>
      </c>
      <c r="L978" s="41" t="s">
        <v>3990</v>
      </c>
      <c r="M978" s="42" t="str">
        <f>HYPERLINK("https://catalog.onliner.by/xmaslights/neonnight/215006215006", "https://catalog.onliner.by/xmaslights/neonnight/215006215006")</f>
        <v>https://catalog.onliner.by/xmaslights/neonnight/215006215006</v>
      </c>
      <c r="N978" s="42" t="str">
        <f>HYPERLINK("https://pronto.by/catalog/product/215-006.html", "https://pronto.by/catalog/product/215-006.html")</f>
        <v>https://pronto.by/catalog/product/215-006.html</v>
      </c>
    </row>
    <row r="979" spans="1:14" customFormat="1" ht="15.6">
      <c r="A979" s="81" t="s">
        <v>3991</v>
      </c>
      <c r="B979" s="67"/>
      <c r="C979" s="67"/>
      <c r="D979" s="32"/>
      <c r="E979" s="32"/>
      <c r="F979" s="32"/>
      <c r="G979" s="52"/>
      <c r="H979" s="52"/>
      <c r="I979" s="52"/>
      <c r="J979" s="32"/>
      <c r="K979" s="32"/>
      <c r="L979" s="33"/>
      <c r="M979" s="33"/>
      <c r="N979" s="34"/>
    </row>
    <row r="980" spans="1:14" customFormat="1" ht="69">
      <c r="A980" s="35" t="s">
        <v>2215</v>
      </c>
      <c r="B980" s="19" t="s">
        <v>2216</v>
      </c>
      <c r="C980" s="20" t="s">
        <v>2217</v>
      </c>
      <c r="D980" s="36" t="s">
        <v>28</v>
      </c>
      <c r="E980" s="37" t="s">
        <v>3295</v>
      </c>
      <c r="F980" s="43">
        <v>428.76</v>
      </c>
      <c r="G980" s="100">
        <f t="shared" si="15"/>
        <v>428.76</v>
      </c>
      <c r="H980" s="101"/>
      <c r="I980" s="100">
        <f>G980*H980</f>
        <v>0</v>
      </c>
      <c r="J980" s="39" t="s">
        <v>3336</v>
      </c>
      <c r="K980" s="40" t="s">
        <v>41</v>
      </c>
      <c r="L980" s="41" t="s">
        <v>3992</v>
      </c>
      <c r="M980" s="42" t="str">
        <f>HYPERLINK("https://catalog.onliner.by/xmaslights/neonnight/nn215031", "https://catalog.onliner.by/xmaslights/neonnight/nn215031")</f>
        <v>https://catalog.onliner.by/xmaslights/neonnight/nn215031</v>
      </c>
      <c r="N980" s="42" t="str">
        <f>HYPERLINK("https://pronto.by/catalog/product/215-031.html", "https://pronto.by/catalog/product/215-031.html")</f>
        <v>https://pronto.by/catalog/product/215-031.html</v>
      </c>
    </row>
    <row r="981" spans="1:14" customFormat="1" ht="69">
      <c r="A981" s="35" t="s">
        <v>2218</v>
      </c>
      <c r="B981" s="19" t="s">
        <v>2219</v>
      </c>
      <c r="C981" s="20" t="s">
        <v>2220</v>
      </c>
      <c r="D981" s="36" t="s">
        <v>28</v>
      </c>
      <c r="E981" s="37" t="s">
        <v>3295</v>
      </c>
      <c r="F981" s="43">
        <v>530.76</v>
      </c>
      <c r="G981" s="100">
        <f t="shared" si="15"/>
        <v>530.76</v>
      </c>
      <c r="H981" s="101"/>
      <c r="I981" s="100">
        <f>G981*H981</f>
        <v>0</v>
      </c>
      <c r="J981" s="39" t="s">
        <v>3336</v>
      </c>
      <c r="K981" s="40" t="s">
        <v>69</v>
      </c>
      <c r="L981" s="41"/>
      <c r="M981" s="42" t="str">
        <f>HYPERLINK("https://catalog.onliner.by/xmaslights/neonnight/nn215032", "https://catalog.onliner.by/xmaslights/neonnight/nn215032")</f>
        <v>https://catalog.onliner.by/xmaslights/neonnight/nn215032</v>
      </c>
      <c r="N981" s="42" t="str">
        <f>HYPERLINK("https://pronto.by/catalog/product/215-032.html", "https://pronto.by/catalog/product/215-032.html")</f>
        <v>https://pronto.by/catalog/product/215-032.html</v>
      </c>
    </row>
    <row r="982" spans="1:14" customFormat="1" ht="82.8">
      <c r="A982" s="35" t="s">
        <v>2221</v>
      </c>
      <c r="B982" s="19" t="s">
        <v>2222</v>
      </c>
      <c r="C982" s="20" t="s">
        <v>2223</v>
      </c>
      <c r="D982" s="36" t="s">
        <v>28</v>
      </c>
      <c r="E982" s="37" t="s">
        <v>3283</v>
      </c>
      <c r="F982" s="43">
        <v>428.76</v>
      </c>
      <c r="G982" s="100">
        <f t="shared" si="15"/>
        <v>428.76</v>
      </c>
      <c r="H982" s="101"/>
      <c r="I982" s="100">
        <f>G982*H982</f>
        <v>0</v>
      </c>
      <c r="J982" s="39" t="s">
        <v>3336</v>
      </c>
      <c r="K982" s="40" t="s">
        <v>41</v>
      </c>
      <c r="L982" s="41" t="s">
        <v>3993</v>
      </c>
      <c r="M982" s="42" t="str">
        <f>HYPERLINK("https://catalog.onliner.by/xmaslights/neonnight/nn215033", "https://catalog.onliner.by/xmaslights/neonnight/nn215033")</f>
        <v>https://catalog.onliner.by/xmaslights/neonnight/nn215033</v>
      </c>
      <c r="N982" s="42" t="str">
        <f>HYPERLINK("https://pronto.by/catalog/product/215-033.html", "https://pronto.by/catalog/product/215-033.html")</f>
        <v>https://pronto.by/catalog/product/215-033.html</v>
      </c>
    </row>
    <row r="983" spans="1:14" customFormat="1" ht="15.6">
      <c r="A983" s="81" t="s">
        <v>3994</v>
      </c>
      <c r="B983" s="67"/>
      <c r="C983" s="67"/>
      <c r="D983" s="32"/>
      <c r="E983" s="32"/>
      <c r="F983" s="32"/>
      <c r="G983" s="52"/>
      <c r="H983" s="52"/>
      <c r="I983" s="52"/>
      <c r="J983" s="32"/>
      <c r="K983" s="32"/>
      <c r="L983" s="33"/>
      <c r="M983" s="33"/>
      <c r="N983" s="34"/>
    </row>
    <row r="984" spans="1:14" customFormat="1" ht="69">
      <c r="A984" s="35" t="s">
        <v>2224</v>
      </c>
      <c r="B984" s="19" t="s">
        <v>2225</v>
      </c>
      <c r="C984" s="20" t="s">
        <v>2226</v>
      </c>
      <c r="D984" s="36" t="s">
        <v>28</v>
      </c>
      <c r="E984" s="37" t="s">
        <v>3283</v>
      </c>
      <c r="F984" s="43">
        <v>488.28000000000003</v>
      </c>
      <c r="G984" s="100">
        <f t="shared" si="15"/>
        <v>488.28</v>
      </c>
      <c r="H984" s="101"/>
      <c r="I984" s="100">
        <f>G984*H984</f>
        <v>0</v>
      </c>
      <c r="J984" s="39" t="s">
        <v>3664</v>
      </c>
      <c r="K984" s="40" t="s">
        <v>69</v>
      </c>
      <c r="L984" s="41"/>
      <c r="M984" s="42" t="str">
        <f>HYPERLINK("https://catalog.onliner.by/xmaslights/neonnight/nn217115", "https://catalog.onliner.by/xmaslights/neonnight/nn217115")</f>
        <v>https://catalog.onliner.by/xmaslights/neonnight/nn217115</v>
      </c>
      <c r="N984" s="42" t="str">
        <f>HYPERLINK("https://pronto.by/catalog/product/217-115.html", "https://pronto.by/catalog/product/217-115.html")</f>
        <v>https://pronto.by/catalog/product/217-115.html</v>
      </c>
    </row>
    <row r="985" spans="1:14" customFormat="1" ht="69">
      <c r="A985" s="35" t="s">
        <v>2227</v>
      </c>
      <c r="B985" s="19" t="s">
        <v>2228</v>
      </c>
      <c r="C985" s="20" t="s">
        <v>2229</v>
      </c>
      <c r="D985" s="36" t="s">
        <v>28</v>
      </c>
      <c r="E985" s="37" t="s">
        <v>3292</v>
      </c>
      <c r="F985" s="43">
        <v>488.28000000000003</v>
      </c>
      <c r="G985" s="100">
        <f t="shared" si="15"/>
        <v>488.28</v>
      </c>
      <c r="H985" s="101"/>
      <c r="I985" s="100">
        <f>G985*H985</f>
        <v>0</v>
      </c>
      <c r="J985" s="39" t="s">
        <v>3664</v>
      </c>
      <c r="K985" s="40" t="s">
        <v>41</v>
      </c>
      <c r="L985" s="41"/>
      <c r="M985" s="42" t="str">
        <f>HYPERLINK("https://catalog.onliner.by/xmaslights/neonnight/nn217119", "https://catalog.onliner.by/xmaslights/neonnight/nn217119")</f>
        <v>https://catalog.onliner.by/xmaslights/neonnight/nn217119</v>
      </c>
      <c r="N985" s="42" t="str">
        <f>HYPERLINK("https://pronto.by/catalog/product/217-119.html", "https://pronto.by/catalog/product/217-119.html")</f>
        <v>https://pronto.by/catalog/product/217-119.html</v>
      </c>
    </row>
    <row r="986" spans="1:14" customFormat="1" ht="15.6">
      <c r="A986" s="81" t="s">
        <v>3995</v>
      </c>
      <c r="B986" s="67"/>
      <c r="C986" s="67"/>
      <c r="D986" s="32"/>
      <c r="E986" s="32"/>
      <c r="F986" s="32"/>
      <c r="G986" s="52"/>
      <c r="H986" s="52"/>
      <c r="I986" s="52"/>
      <c r="J986" s="32"/>
      <c r="K986" s="32"/>
      <c r="L986" s="33"/>
      <c r="M986" s="33"/>
      <c r="N986" s="34"/>
    </row>
    <row r="987" spans="1:14" customFormat="1" ht="69">
      <c r="A987" s="35" t="s">
        <v>2230</v>
      </c>
      <c r="B987" s="19" t="s">
        <v>2231</v>
      </c>
      <c r="C987" s="20" t="s">
        <v>2232</v>
      </c>
      <c r="D987" s="36" t="s">
        <v>28</v>
      </c>
      <c r="E987" s="37" t="s">
        <v>3291</v>
      </c>
      <c r="F987" s="43">
        <v>706.44</v>
      </c>
      <c r="G987" s="100">
        <f t="shared" si="15"/>
        <v>706.44</v>
      </c>
      <c r="H987" s="101"/>
      <c r="I987" s="100">
        <f>G987*H987</f>
        <v>0</v>
      </c>
      <c r="J987" s="39" t="s">
        <v>3664</v>
      </c>
      <c r="K987" s="40" t="s">
        <v>69</v>
      </c>
      <c r="L987" s="41"/>
      <c r="M987" s="42" t="str">
        <f>HYPERLINK("https://catalog.onliner.by/xmaslights/neonnight/217145217145", "https://catalog.onliner.by/xmaslights/neonnight/217145217145")</f>
        <v>https://catalog.onliner.by/xmaslights/neonnight/217145217145</v>
      </c>
      <c r="N987" s="42" t="str">
        <f>HYPERLINK("https://pronto.by/catalog/product/217-145.html", "https://pronto.by/catalog/product/217-145.html")</f>
        <v>https://pronto.by/catalog/product/217-145.html</v>
      </c>
    </row>
    <row r="988" spans="1:14" customFormat="1" ht="69">
      <c r="A988" s="35" t="s">
        <v>2233</v>
      </c>
      <c r="B988" s="19" t="s">
        <v>2234</v>
      </c>
      <c r="C988" s="20" t="s">
        <v>2235</v>
      </c>
      <c r="D988" s="36" t="s">
        <v>28</v>
      </c>
      <c r="E988" s="37" t="s">
        <v>3292</v>
      </c>
      <c r="F988" s="43">
        <v>706.44</v>
      </c>
      <c r="G988" s="100">
        <f t="shared" si="15"/>
        <v>706.44</v>
      </c>
      <c r="H988" s="101"/>
      <c r="I988" s="100">
        <f>G988*H988</f>
        <v>0</v>
      </c>
      <c r="J988" s="39" t="s">
        <v>3664</v>
      </c>
      <c r="K988" s="40" t="s">
        <v>69</v>
      </c>
      <c r="L988" s="41"/>
      <c r="M988" s="42" t="str">
        <f>HYPERLINK("https://catalog.onliner.by/xmaslights/neonnight/217146217146", "https://catalog.onliner.by/xmaslights/neonnight/217146217146")</f>
        <v>https://catalog.onliner.by/xmaslights/neonnight/217146217146</v>
      </c>
      <c r="N988" s="42" t="str">
        <f>HYPERLINK("https://pronto.by/catalog/product/217-146.html", "https://pronto.by/catalog/product/217-146.html")</f>
        <v>https://pronto.by/catalog/product/217-146.html</v>
      </c>
    </row>
    <row r="989" spans="1:14" customFormat="1" ht="69">
      <c r="A989" s="35" t="s">
        <v>2236</v>
      </c>
      <c r="B989" s="19" t="s">
        <v>2237</v>
      </c>
      <c r="C989" s="20" t="s">
        <v>2238</v>
      </c>
      <c r="D989" s="36" t="s">
        <v>28</v>
      </c>
      <c r="E989" s="37" t="s">
        <v>3295</v>
      </c>
      <c r="F989" s="43">
        <v>706.44</v>
      </c>
      <c r="G989" s="100">
        <f t="shared" si="15"/>
        <v>706.44</v>
      </c>
      <c r="H989" s="101"/>
      <c r="I989" s="100">
        <f>G989*H989</f>
        <v>0</v>
      </c>
      <c r="J989" s="39" t="s">
        <v>3664</v>
      </c>
      <c r="K989" s="40" t="s">
        <v>69</v>
      </c>
      <c r="L989" s="41"/>
      <c r="M989" s="42" t="str">
        <f>HYPERLINK("https://catalog.onliner.by/xmaslights/neonnight/nn217125", "https://catalog.onliner.by/xmaslights/neonnight/nn217125")</f>
        <v>https://catalog.onliner.by/xmaslights/neonnight/nn217125</v>
      </c>
      <c r="N989" s="42" t="str">
        <f>HYPERLINK("https://pronto.by/catalog/product/217-125.html", "https://pronto.by/catalog/product/217-125.html")</f>
        <v>https://pronto.by/catalog/product/217-125.html</v>
      </c>
    </row>
    <row r="990" spans="1:14" customFormat="1" ht="69">
      <c r="A990" s="35" t="s">
        <v>2239</v>
      </c>
      <c r="B990" s="19" t="s">
        <v>2240</v>
      </c>
      <c r="C990" s="20" t="s">
        <v>2241</v>
      </c>
      <c r="D990" s="36" t="s">
        <v>28</v>
      </c>
      <c r="E990" s="37" t="s">
        <v>3290</v>
      </c>
      <c r="F990" s="43">
        <v>706.44</v>
      </c>
      <c r="G990" s="100">
        <f t="shared" si="15"/>
        <v>706.44</v>
      </c>
      <c r="H990" s="101"/>
      <c r="I990" s="100">
        <f>G990*H990</f>
        <v>0</v>
      </c>
      <c r="J990" s="39" t="s">
        <v>3664</v>
      </c>
      <c r="K990" s="40" t="s">
        <v>69</v>
      </c>
      <c r="L990" s="41"/>
      <c r="M990" s="42" t="str">
        <f>HYPERLINK("https://catalog.onliner.by/xmaslights/neonnight/nn217129", "https://catalog.onliner.by/xmaslights/neonnight/nn217129")</f>
        <v>https://catalog.onliner.by/xmaslights/neonnight/nn217129</v>
      </c>
      <c r="N990" s="42" t="str">
        <f>HYPERLINK("https://pronto.by/catalog/product/217-129.html", "https://pronto.by/catalog/product/217-129.html")</f>
        <v>https://pronto.by/catalog/product/217-129.html</v>
      </c>
    </row>
    <row r="991" spans="1:14" customFormat="1" ht="69">
      <c r="A991" s="35" t="s">
        <v>2242</v>
      </c>
      <c r="B991" s="19" t="s">
        <v>2243</v>
      </c>
      <c r="C991" s="20" t="s">
        <v>2244</v>
      </c>
      <c r="D991" s="36" t="s">
        <v>28</v>
      </c>
      <c r="E991" s="37" t="s">
        <v>3290</v>
      </c>
      <c r="F991" s="43">
        <v>706.44</v>
      </c>
      <c r="G991" s="100">
        <f t="shared" si="15"/>
        <v>706.44</v>
      </c>
      <c r="H991" s="101"/>
      <c r="I991" s="100">
        <f>G991*H991</f>
        <v>0</v>
      </c>
      <c r="J991" s="39" t="s">
        <v>3664</v>
      </c>
      <c r="K991" s="40" t="s">
        <v>69</v>
      </c>
      <c r="L991" s="41"/>
      <c r="M991" s="42" t="str">
        <f>HYPERLINK("https://catalog.onliner.by/xmaslights/neonnight/nn217126", "https://catalog.onliner.by/xmaslights/neonnight/nn217126")</f>
        <v>https://catalog.onliner.by/xmaslights/neonnight/nn217126</v>
      </c>
      <c r="N991" s="42" t="str">
        <f>HYPERLINK("https://pronto.by/catalog/product/217-126.html", "https://pronto.by/catalog/product/217-126.html")</f>
        <v>https://pronto.by/catalog/product/217-126.html</v>
      </c>
    </row>
    <row r="992" spans="1:14" customFormat="1" ht="15.6">
      <c r="A992" s="81" t="s">
        <v>3996</v>
      </c>
      <c r="B992" s="67"/>
      <c r="C992" s="67"/>
      <c r="D992" s="32"/>
      <c r="E992" s="32"/>
      <c r="F992" s="32"/>
      <c r="G992" s="52"/>
      <c r="H992" s="52"/>
      <c r="I992" s="52"/>
      <c r="J992" s="32"/>
      <c r="K992" s="32"/>
      <c r="L992" s="33"/>
      <c r="M992" s="33"/>
      <c r="N992" s="34"/>
    </row>
    <row r="993" spans="1:14" customFormat="1" ht="41.4">
      <c r="A993" s="35" t="s">
        <v>2245</v>
      </c>
      <c r="B993" s="19" t="s">
        <v>2246</v>
      </c>
      <c r="C993" s="20" t="s">
        <v>2247</v>
      </c>
      <c r="D993" s="36" t="s">
        <v>28</v>
      </c>
      <c r="E993" s="37" t="s">
        <v>3290</v>
      </c>
      <c r="F993" s="43">
        <v>944.76</v>
      </c>
      <c r="G993" s="100">
        <f t="shared" si="15"/>
        <v>944.76</v>
      </c>
      <c r="H993" s="101"/>
      <c r="I993" s="100">
        <f>G993*H993</f>
        <v>0</v>
      </c>
      <c r="J993" s="39" t="s">
        <v>3664</v>
      </c>
      <c r="K993" s="40" t="s">
        <v>69</v>
      </c>
      <c r="L993" s="41"/>
      <c r="M993" s="42" t="str">
        <f>HYPERLINK("https://catalog.onliner.by/xmaslights/neonnight/nn217135", "https://catalog.onliner.by/xmaslights/neonnight/nn217135")</f>
        <v>https://catalog.onliner.by/xmaslights/neonnight/nn217135</v>
      </c>
      <c r="N993" s="42" t="str">
        <f>HYPERLINK("https://pronto.by/catalog/product/217-135.html", "https://pronto.by/catalog/product/217-135.html")</f>
        <v>https://pronto.by/catalog/product/217-135.html</v>
      </c>
    </row>
    <row r="994" spans="1:14" customFormat="1" ht="41.4">
      <c r="A994" s="35" t="s">
        <v>2248</v>
      </c>
      <c r="B994" s="19" t="s">
        <v>2249</v>
      </c>
      <c r="C994" s="20" t="s">
        <v>2250</v>
      </c>
      <c r="D994" s="36" t="s">
        <v>28</v>
      </c>
      <c r="E994" s="37" t="s">
        <v>3295</v>
      </c>
      <c r="F994" s="43">
        <v>861.6</v>
      </c>
      <c r="G994" s="100">
        <f t="shared" si="15"/>
        <v>861.6</v>
      </c>
      <c r="H994" s="101"/>
      <c r="I994" s="100">
        <f>G994*H994</f>
        <v>0</v>
      </c>
      <c r="J994" s="39" t="s">
        <v>3664</v>
      </c>
      <c r="K994" s="40" t="s">
        <v>41</v>
      </c>
      <c r="L994" s="41"/>
      <c r="M994" s="42" t="str">
        <f>HYPERLINK("https://catalog.onliner.by/xmaslights/neonnight/nn217133", "https://catalog.onliner.by/xmaslights/neonnight/nn217133")</f>
        <v>https://catalog.onliner.by/xmaslights/neonnight/nn217133</v>
      </c>
      <c r="N994" s="42" t="str">
        <f>HYPERLINK("https://pronto.by/catalog/product/217-133.html", "https://pronto.by/catalog/product/217-133.html")</f>
        <v>https://pronto.by/catalog/product/217-133.html</v>
      </c>
    </row>
    <row r="995" spans="1:14" customFormat="1" ht="15.6">
      <c r="A995" s="81" t="s">
        <v>3997</v>
      </c>
      <c r="B995" s="67"/>
      <c r="C995" s="67"/>
      <c r="D995" s="32"/>
      <c r="E995" s="32"/>
      <c r="F995" s="32"/>
      <c r="G995" s="52"/>
      <c r="H995" s="52"/>
      <c r="I995" s="52"/>
      <c r="J995" s="32"/>
      <c r="K995" s="32"/>
      <c r="L995" s="33"/>
      <c r="M995" s="33"/>
      <c r="N995" s="34"/>
    </row>
    <row r="996" spans="1:14" customFormat="1" ht="15.6">
      <c r="A996" s="81" t="s">
        <v>3998</v>
      </c>
      <c r="B996" s="67"/>
      <c r="C996" s="67"/>
      <c r="D996" s="32"/>
      <c r="E996" s="32"/>
      <c r="F996" s="32"/>
      <c r="G996" s="52"/>
      <c r="H996" s="52"/>
      <c r="I996" s="52"/>
      <c r="J996" s="32"/>
      <c r="K996" s="32"/>
      <c r="L996" s="33"/>
      <c r="M996" s="33"/>
      <c r="N996" s="34"/>
    </row>
    <row r="997" spans="1:14" customFormat="1" ht="41.4">
      <c r="A997" s="35" t="s">
        <v>2251</v>
      </c>
      <c r="B997" s="19" t="s">
        <v>2252</v>
      </c>
      <c r="C997" s="20" t="s">
        <v>3999</v>
      </c>
      <c r="D997" s="36" t="s">
        <v>28</v>
      </c>
      <c r="E997" s="37" t="s">
        <v>3286</v>
      </c>
      <c r="F997" s="43">
        <v>29.28</v>
      </c>
      <c r="G997" s="100">
        <f t="shared" si="15"/>
        <v>29.28</v>
      </c>
      <c r="H997" s="101"/>
      <c r="I997" s="100">
        <f>G997*H997</f>
        <v>0</v>
      </c>
      <c r="J997" s="39" t="s">
        <v>3336</v>
      </c>
      <c r="K997" s="40" t="s">
        <v>1391</v>
      </c>
      <c r="L997" s="41"/>
      <c r="M997" s="42" t="str">
        <f>HYPERLINK("https://catalog.onliner.by/xmaslights/neonnight/neonnight2304", "https://catalog.onliner.by/xmaslights/neonnight/neonnight2304")</f>
        <v>https://catalog.onliner.by/xmaslights/neonnight/neonnight2304</v>
      </c>
      <c r="N997" s="42" t="str">
        <f>HYPERLINK("https://pronto.by/catalog/product/303-500-1.html", "https://pronto.by/catalog/product/303-500-1.html")</f>
        <v>https://pronto.by/catalog/product/303-500-1.html</v>
      </c>
    </row>
    <row r="998" spans="1:14" customFormat="1" ht="41.4">
      <c r="A998" s="35" t="s">
        <v>2253</v>
      </c>
      <c r="B998" s="19" t="s">
        <v>2254</v>
      </c>
      <c r="C998" s="20" t="s">
        <v>4000</v>
      </c>
      <c r="D998" s="36" t="s">
        <v>28</v>
      </c>
      <c r="E998" s="37" t="s">
        <v>3286</v>
      </c>
      <c r="F998" s="43">
        <v>29.28</v>
      </c>
      <c r="G998" s="100">
        <f t="shared" si="15"/>
        <v>29.28</v>
      </c>
      <c r="H998" s="101"/>
      <c r="I998" s="100">
        <f>G998*H998</f>
        <v>0</v>
      </c>
      <c r="J998" s="39" t="s">
        <v>3336</v>
      </c>
      <c r="K998" s="40" t="s">
        <v>1391</v>
      </c>
      <c r="L998" s="41"/>
      <c r="M998" s="42" t="str">
        <f>HYPERLINK("https://catalog.onliner.by/xmaslights/neonnight/neonnight2304ch", "https://catalog.onliner.by/xmaslights/neonnight/neonnight2304ch")</f>
        <v>https://catalog.onliner.by/xmaslights/neonnight/neonnight2304ch</v>
      </c>
      <c r="N998" s="42" t="str">
        <f>HYPERLINK("https://pronto.by/catalog/product/303-500.html", "https://pronto.by/catalog/product/303-500.html")</f>
        <v>https://pronto.by/catalog/product/303-500.html</v>
      </c>
    </row>
    <row r="999" spans="1:14" customFormat="1" ht="30.6">
      <c r="A999" s="35" t="s">
        <v>4001</v>
      </c>
      <c r="B999" s="19" t="s">
        <v>4002</v>
      </c>
      <c r="C999" s="20" t="s">
        <v>4003</v>
      </c>
      <c r="D999" s="36" t="s">
        <v>28</v>
      </c>
      <c r="E999" s="37" t="s">
        <v>3274</v>
      </c>
      <c r="F999" s="43">
        <v>129.66</v>
      </c>
      <c r="G999" s="100">
        <f t="shared" si="15"/>
        <v>129.66</v>
      </c>
      <c r="H999" s="101"/>
      <c r="I999" s="100">
        <f>G999*H999</f>
        <v>0</v>
      </c>
      <c r="J999" s="39" t="s">
        <v>3336</v>
      </c>
      <c r="K999" s="40" t="s">
        <v>1391</v>
      </c>
      <c r="L999" s="41"/>
      <c r="M999" s="42" t="str">
        <f>HYPERLINK("https://catalog.onliner.by/xmaslights/neonnight/531100", "https://catalog.onliner.by/xmaslights/neonnight/531100")</f>
        <v>https://catalog.onliner.by/xmaslights/neonnight/531100</v>
      </c>
      <c r="N999" s="42" t="str">
        <f>HYPERLINK("https://pronto.by/catalog/product/531-100.html", "https://pronto.by/catalog/product/531-100.html")</f>
        <v>https://pronto.by/catalog/product/531-100.html</v>
      </c>
    </row>
    <row r="1000" spans="1:14" customFormat="1" ht="71.400000000000006">
      <c r="A1000" s="45" t="s">
        <v>2255</v>
      </c>
      <c r="B1000" s="46" t="s">
        <v>2256</v>
      </c>
      <c r="C1000" s="54" t="s">
        <v>2257</v>
      </c>
      <c r="D1000" s="47" t="s">
        <v>28</v>
      </c>
      <c r="E1000" s="48" t="s">
        <v>3308</v>
      </c>
      <c r="F1000" s="43">
        <v>91.62</v>
      </c>
      <c r="G1000" s="100">
        <f t="shared" si="15"/>
        <v>91.62</v>
      </c>
      <c r="H1000" s="101"/>
      <c r="I1000" s="100">
        <f>G1000*H1000</f>
        <v>0</v>
      </c>
      <c r="J1000" s="39" t="s">
        <v>3336</v>
      </c>
      <c r="K1000" s="40" t="s">
        <v>1391</v>
      </c>
      <c r="L1000" s="41"/>
      <c r="M1000" s="42" t="s">
        <v>4004</v>
      </c>
      <c r="N1000" s="42" t="str">
        <f>HYPERLINK("https://pronto.by/catalog/prazdnichnaya-svetotehnika/professional-professionalnye-proekty/aksessuary-dlya-montazha/19527/531-311.html", "https://pronto.by/catalog/prazdnichnaya-svetotehnika/professional-professionalnye-proekty/aksessuary-dlya-montazha/19527/531-311.html")</f>
        <v>https://pronto.by/catalog/prazdnichnaya-svetotehnika/professional-professionalnye-proekty/aksessuary-dlya-montazha/19527/531-311.html</v>
      </c>
    </row>
    <row r="1001" spans="1:14" customFormat="1" ht="71.400000000000006">
      <c r="A1001" s="45" t="s">
        <v>2258</v>
      </c>
      <c r="B1001" s="46" t="s">
        <v>2259</v>
      </c>
      <c r="C1001" s="54" t="s">
        <v>2260</v>
      </c>
      <c r="D1001" s="47" t="s">
        <v>28</v>
      </c>
      <c r="E1001" s="48" t="s">
        <v>3308</v>
      </c>
      <c r="F1001" s="43">
        <v>137.46</v>
      </c>
      <c r="G1001" s="100">
        <f t="shared" si="15"/>
        <v>137.46</v>
      </c>
      <c r="H1001" s="101"/>
      <c r="I1001" s="100">
        <f>G1001*H1001</f>
        <v>0</v>
      </c>
      <c r="J1001" s="39" t="s">
        <v>3336</v>
      </c>
      <c r="K1001" s="40" t="s">
        <v>1391</v>
      </c>
      <c r="L1001" s="41"/>
      <c r="M1001" s="42" t="s">
        <v>4005</v>
      </c>
      <c r="N1001" s="42" t="str">
        <f>HYPERLINK("https://pronto.by/catalog/prazdnichnaya-svetotehnika/professional-professionalnye-proekty/aksessuary-dlya-montazha/19527/531-312.html", "https://pronto.by/catalog/prazdnichnaya-svetotehnika/professional-professionalnye-proekty/aksessuary-dlya-montazha/19527/531-312.html")</f>
        <v>https://pronto.by/catalog/prazdnichnaya-svetotehnika/professional-professionalnye-proekty/aksessuary-dlya-montazha/19527/531-312.html</v>
      </c>
    </row>
    <row r="1002" spans="1:14" customFormat="1" ht="41.4">
      <c r="A1002" s="35" t="s">
        <v>2261</v>
      </c>
      <c r="B1002" s="19" t="s">
        <v>2262</v>
      </c>
      <c r="C1002" s="20" t="s">
        <v>4006</v>
      </c>
      <c r="D1002" s="36" t="s">
        <v>28</v>
      </c>
      <c r="E1002" s="37" t="s">
        <v>3260</v>
      </c>
      <c r="F1002" s="43">
        <v>33.659999999999997</v>
      </c>
      <c r="G1002" s="100">
        <f t="shared" si="15"/>
        <v>33.659999999999997</v>
      </c>
      <c r="H1002" s="101"/>
      <c r="I1002" s="100">
        <f>G1002*H1002</f>
        <v>0</v>
      </c>
      <c r="J1002" s="39" t="s">
        <v>3336</v>
      </c>
      <c r="K1002" s="40" t="s">
        <v>1391</v>
      </c>
      <c r="L1002" s="41"/>
      <c r="M1002" s="42" t="str">
        <f>HYPERLINK("https://catalog.onliner.by/xmaslights/neonnight/nn315001", "https://catalog.onliner.by/xmaslights/neonnight/nn315001")</f>
        <v>https://catalog.onliner.by/xmaslights/neonnight/nn315001</v>
      </c>
      <c r="N1002" s="42" t="str">
        <f>HYPERLINK("https://pronto.by/catalog/product/315-001.html", "https://pronto.by/catalog/product/315-001.html")</f>
        <v>https://pronto.by/catalog/product/315-001.html</v>
      </c>
    </row>
    <row r="1003" spans="1:14" customFormat="1" ht="41.4">
      <c r="A1003" s="35" t="s">
        <v>2263</v>
      </c>
      <c r="B1003" s="19" t="s">
        <v>2264</v>
      </c>
      <c r="C1003" s="20" t="s">
        <v>4007</v>
      </c>
      <c r="D1003" s="36" t="s">
        <v>28</v>
      </c>
      <c r="E1003" s="37" t="s">
        <v>3260</v>
      </c>
      <c r="F1003" s="43">
        <v>33.659999999999997</v>
      </c>
      <c r="G1003" s="100">
        <f t="shared" si="15"/>
        <v>33.659999999999997</v>
      </c>
      <c r="H1003" s="101"/>
      <c r="I1003" s="100">
        <f>G1003*H1003</f>
        <v>0</v>
      </c>
      <c r="J1003" s="39" t="s">
        <v>3336</v>
      </c>
      <c r="K1003" s="40" t="s">
        <v>1391</v>
      </c>
      <c r="L1003" s="41"/>
      <c r="M1003" s="42" t="str">
        <f>HYPERLINK("https://catalog.onliner.by/xmaslights/neonnight/nn315000", "https://catalog.onliner.by/xmaslights/neonnight/nn315000")</f>
        <v>https://catalog.onliner.by/xmaslights/neonnight/nn315000</v>
      </c>
      <c r="N1003" s="42" t="str">
        <f>HYPERLINK("https://pronto.by/catalog/product/315-000.html", "https://pronto.by/catalog/product/315-000.html")</f>
        <v>https://pronto.by/catalog/product/315-000.html</v>
      </c>
    </row>
    <row r="1004" spans="1:14" customFormat="1" ht="71.400000000000006">
      <c r="A1004" s="35" t="s">
        <v>2265</v>
      </c>
      <c r="B1004" s="19" t="s">
        <v>2266</v>
      </c>
      <c r="C1004" s="20" t="s">
        <v>4008</v>
      </c>
      <c r="D1004" s="36" t="s">
        <v>28</v>
      </c>
      <c r="E1004" s="37" t="s">
        <v>3260</v>
      </c>
      <c r="F1004" s="43">
        <v>29.94</v>
      </c>
      <c r="G1004" s="100">
        <f t="shared" si="15"/>
        <v>29.94</v>
      </c>
      <c r="H1004" s="101"/>
      <c r="I1004" s="100">
        <f>G1004*H1004</f>
        <v>0</v>
      </c>
      <c r="J1004" s="39" t="s">
        <v>3336</v>
      </c>
      <c r="K1004" s="40" t="s">
        <v>1391</v>
      </c>
      <c r="L1004" s="41"/>
      <c r="M1004" s="42" t="str">
        <f>HYPERLINK("https://catalog.onliner.by/xmaslights/neonnight/neon315004", "https://catalog.onliner.by/xmaslights/neonnight/neon315004")</f>
        <v>https://catalog.onliner.by/xmaslights/neonnight/neon315004</v>
      </c>
      <c r="N1004" s="42" t="str">
        <f>HYPERLINK("https://pronto.by/catalog/prazdnichnaya-svetotehnika/professional-professionalnye-proekty/aksessuary-dlya-montazha/19527/315-004.html", "https://pronto.by/catalog/prazdnichnaya-svetotehnika/professional-professionalnye-proekty/aksessuary-dlya-montazha/19527/315-004.html")</f>
        <v>https://pronto.by/catalog/prazdnichnaya-svetotehnika/professional-professionalnye-proekty/aksessuary-dlya-montazha/19527/315-004.html</v>
      </c>
    </row>
    <row r="1005" spans="1:14" customFormat="1" ht="71.400000000000006">
      <c r="A1005" s="35" t="s">
        <v>2267</v>
      </c>
      <c r="B1005" s="19" t="s">
        <v>2268</v>
      </c>
      <c r="C1005" s="20" t="s">
        <v>4009</v>
      </c>
      <c r="D1005" s="36" t="s">
        <v>28</v>
      </c>
      <c r="E1005" s="37" t="s">
        <v>3260</v>
      </c>
      <c r="F1005" s="43">
        <v>29.94</v>
      </c>
      <c r="G1005" s="100">
        <f t="shared" si="15"/>
        <v>29.94</v>
      </c>
      <c r="H1005" s="101"/>
      <c r="I1005" s="100">
        <f>G1005*H1005</f>
        <v>0</v>
      </c>
      <c r="J1005" s="39" t="s">
        <v>3336</v>
      </c>
      <c r="K1005" s="40" t="s">
        <v>1391</v>
      </c>
      <c r="L1005" s="41"/>
      <c r="M1005" s="42" t="str">
        <f>HYPERLINK("https://catalog.onliner.by/xmaslights/neonnight/neon315003", "https://catalog.onliner.by/xmaslights/neonnight/neon315003")</f>
        <v>https://catalog.onliner.by/xmaslights/neonnight/neon315003</v>
      </c>
      <c r="N1005" s="42" t="str">
        <f>HYPERLINK("https://pronto.by/catalog/prazdnichnaya-svetotehnika/professional-professionalnye-proekty/aksessuary-dlya-montazha/19527/315-003.html", "https://pronto.by/catalog/prazdnichnaya-svetotehnika/professional-professionalnye-proekty/aksessuary-dlya-montazha/19527/315-003.html")</f>
        <v>https://pronto.by/catalog/prazdnichnaya-svetotehnika/professional-professionalnye-proekty/aksessuary-dlya-montazha/19527/315-003.html</v>
      </c>
    </row>
    <row r="1006" spans="1:14" customFormat="1" ht="15.6">
      <c r="A1006" s="81" t="s">
        <v>4010</v>
      </c>
      <c r="B1006" s="67"/>
      <c r="C1006" s="67"/>
      <c r="D1006" s="32"/>
      <c r="E1006" s="32"/>
      <c r="F1006" s="32"/>
      <c r="G1006" s="52"/>
      <c r="H1006" s="52"/>
      <c r="I1006" s="52"/>
      <c r="J1006" s="32"/>
      <c r="K1006" s="32"/>
      <c r="L1006" s="33"/>
      <c r="M1006" s="33"/>
      <c r="N1006" s="34"/>
    </row>
    <row r="1007" spans="1:14" customFormat="1" ht="69">
      <c r="A1007" s="35" t="s">
        <v>4011</v>
      </c>
      <c r="B1007" s="19" t="s">
        <v>4012</v>
      </c>
      <c r="C1007" s="20" t="s">
        <v>4013</v>
      </c>
      <c r="D1007" s="36" t="s">
        <v>28</v>
      </c>
      <c r="E1007" s="37" t="s">
        <v>3273</v>
      </c>
      <c r="F1007" s="43">
        <v>202.14000000000001</v>
      </c>
      <c r="G1007" s="100">
        <f t="shared" si="15"/>
        <v>202.14</v>
      </c>
      <c r="H1007" s="101"/>
      <c r="I1007" s="100">
        <f>G1007*H1007</f>
        <v>0</v>
      </c>
      <c r="J1007" s="39" t="s">
        <v>3336</v>
      </c>
      <c r="K1007" s="40" t="s">
        <v>2347</v>
      </c>
      <c r="L1007" s="41"/>
      <c r="M1007" s="42" t="str">
        <f>HYPERLINK("https://catalog.onliner.by/xmaslights/neonnight/neon245408", "https://catalog.onliner.by/xmaslights/neonnight/neon245408")</f>
        <v>https://catalog.onliner.by/xmaslights/neonnight/neon245408</v>
      </c>
      <c r="N1007" s="42" t="str">
        <f>HYPERLINK("https://pronto.by/catalog/prazdnichnaya-svetotehnika/professional-professionalnye-proekty/girlyanda-nit/nit-pvh/245-408.html", "https://pronto.by/catalog/prazdnichnaya-svetotehnika/professional-professionalnye-proekty/girlyanda-nit/nit-pvh/245-408.html")</f>
        <v>https://pronto.by/catalog/prazdnichnaya-svetotehnika/professional-professionalnye-proekty/girlyanda-nit/nit-pvh/245-408.html</v>
      </c>
    </row>
    <row r="1008" spans="1:14" customFormat="1" ht="69">
      <c r="A1008" s="35" t="s">
        <v>2269</v>
      </c>
      <c r="B1008" s="19" t="s">
        <v>2270</v>
      </c>
      <c r="C1008" s="20" t="s">
        <v>2271</v>
      </c>
      <c r="D1008" s="36" t="s">
        <v>28</v>
      </c>
      <c r="E1008" s="37" t="s">
        <v>3275</v>
      </c>
      <c r="F1008" s="43">
        <v>110.76</v>
      </c>
      <c r="G1008" s="100">
        <f t="shared" si="15"/>
        <v>110.76</v>
      </c>
      <c r="H1008" s="101"/>
      <c r="I1008" s="100">
        <f>G1008*H1008</f>
        <v>0</v>
      </c>
      <c r="J1008" s="39" t="s">
        <v>3336</v>
      </c>
      <c r="K1008" s="40" t="s">
        <v>69</v>
      </c>
      <c r="L1008" s="41"/>
      <c r="M1008" s="42" t="str">
        <f>HYPERLINK("https://catalog.onliner.by/xmaslights/neonnight/305165", "https://catalog.onliner.by/xmaslights/neonnight/305165")</f>
        <v>https://catalog.onliner.by/xmaslights/neonnight/305165</v>
      </c>
      <c r="N1008" s="42" t="str">
        <f>HYPERLINK("https://pronto.by/catalog/product/305-165.html", "https://pronto.by/catalog/product/305-165.html")</f>
        <v>https://pronto.by/catalog/product/305-165.html</v>
      </c>
    </row>
    <row r="1009" spans="1:14" customFormat="1" ht="82.8">
      <c r="A1009" s="35" t="s">
        <v>2272</v>
      </c>
      <c r="B1009" s="19" t="s">
        <v>2273</v>
      </c>
      <c r="C1009" s="20" t="s">
        <v>2274</v>
      </c>
      <c r="D1009" s="36" t="s">
        <v>28</v>
      </c>
      <c r="E1009" s="37" t="s">
        <v>3275</v>
      </c>
      <c r="F1009" s="43">
        <v>116.82000000000001</v>
      </c>
      <c r="G1009" s="100">
        <f t="shared" si="15"/>
        <v>116.82</v>
      </c>
      <c r="H1009" s="101"/>
      <c r="I1009" s="100">
        <f>G1009*H1009</f>
        <v>0</v>
      </c>
      <c r="J1009" s="39" t="s">
        <v>3336</v>
      </c>
      <c r="K1009" s="40" t="s">
        <v>69</v>
      </c>
      <c r="L1009" s="41"/>
      <c r="M1009" s="42" t="str">
        <f>HYPERLINK("https://catalog.onliner.by/xmaslights/neonnight/305135", "https://catalog.onliner.by/xmaslights/neonnight/305135")</f>
        <v>https://catalog.onliner.by/xmaslights/neonnight/305135</v>
      </c>
      <c r="N1009" s="42" t="str">
        <f>HYPERLINK("https://pronto.by/catalog/product/305-135.html", "https://pronto.by/catalog/product/305-135.html")</f>
        <v>https://pronto.by/catalog/product/305-135.html</v>
      </c>
    </row>
    <row r="1010" spans="1:14" customFormat="1" ht="69">
      <c r="A1010" s="35" t="s">
        <v>2275</v>
      </c>
      <c r="B1010" s="19" t="s">
        <v>2276</v>
      </c>
      <c r="C1010" s="20" t="s">
        <v>2277</v>
      </c>
      <c r="D1010" s="36" t="s">
        <v>28</v>
      </c>
      <c r="E1010" s="37" t="s">
        <v>3273</v>
      </c>
      <c r="F1010" s="43">
        <v>110.76</v>
      </c>
      <c r="G1010" s="100">
        <f t="shared" si="15"/>
        <v>110.76</v>
      </c>
      <c r="H1010" s="101"/>
      <c r="I1010" s="100">
        <f>G1010*H1010</f>
        <v>0</v>
      </c>
      <c r="J1010" s="39" t="s">
        <v>3336</v>
      </c>
      <c r="K1010" s="40" t="s">
        <v>69</v>
      </c>
      <c r="L1010" s="41"/>
      <c r="M1010" s="42" t="str">
        <f>HYPERLINK("https://catalog.onliner.by/xmaslights/neonnight/305162", "https://catalog.onliner.by/xmaslights/neonnight/305162")</f>
        <v>https://catalog.onliner.by/xmaslights/neonnight/305162</v>
      </c>
      <c r="N1010" s="42" t="str">
        <f>HYPERLINK("https://pronto.by/catalog/product/305-162.html", "https://pronto.by/catalog/product/305-162.html")</f>
        <v>https://pronto.by/catalog/product/305-162.html</v>
      </c>
    </row>
    <row r="1011" spans="1:14" customFormat="1" ht="82.8">
      <c r="A1011" s="35" t="s">
        <v>2278</v>
      </c>
      <c r="B1011" s="19" t="s">
        <v>2279</v>
      </c>
      <c r="C1011" s="20" t="s">
        <v>2280</v>
      </c>
      <c r="D1011" s="36" t="s">
        <v>28</v>
      </c>
      <c r="E1011" s="37" t="s">
        <v>3273</v>
      </c>
      <c r="F1011" s="43">
        <v>110.76</v>
      </c>
      <c r="G1011" s="100">
        <f t="shared" si="15"/>
        <v>110.76</v>
      </c>
      <c r="H1011" s="101"/>
      <c r="I1011" s="100">
        <f>G1011*H1011</f>
        <v>0</v>
      </c>
      <c r="J1011" s="39" t="s">
        <v>3336</v>
      </c>
      <c r="K1011" s="40" t="s">
        <v>69</v>
      </c>
      <c r="L1011" s="41"/>
      <c r="M1011" s="42" t="str">
        <f>HYPERLINK("https://catalog.onliner.by/xmaslights/neonnight/305169", "https://catalog.onliner.by/xmaslights/neonnight/305169")</f>
        <v>https://catalog.onliner.by/xmaslights/neonnight/305169</v>
      </c>
      <c r="N1011" s="42" t="str">
        <f>HYPERLINK("https://pronto.by/catalog/product/305-169.html", "https://pronto.by/catalog/product/305-169.html")</f>
        <v>https://pronto.by/catalog/product/305-169.html</v>
      </c>
    </row>
    <row r="1012" spans="1:14" customFormat="1" ht="69">
      <c r="A1012" s="35" t="s">
        <v>2281</v>
      </c>
      <c r="B1012" s="19" t="s">
        <v>2282</v>
      </c>
      <c r="C1012" s="20" t="s">
        <v>2283</v>
      </c>
      <c r="D1012" s="36" t="s">
        <v>28</v>
      </c>
      <c r="E1012" s="37" t="s">
        <v>3272</v>
      </c>
      <c r="F1012" s="43">
        <v>110.76</v>
      </c>
      <c r="G1012" s="100">
        <f t="shared" si="15"/>
        <v>110.76</v>
      </c>
      <c r="H1012" s="101"/>
      <c r="I1012" s="100">
        <f>G1012*H1012</f>
        <v>0</v>
      </c>
      <c r="J1012" s="39" t="s">
        <v>3336</v>
      </c>
      <c r="K1012" s="40" t="s">
        <v>41</v>
      </c>
      <c r="L1012" s="41"/>
      <c r="M1012" s="42" t="str">
        <f>HYPERLINK("https://catalog.onliner.by/xmaslights/neonnight/305163", "https://catalog.onliner.by/xmaslights/neonnight/305163")</f>
        <v>https://catalog.onliner.by/xmaslights/neonnight/305163</v>
      </c>
      <c r="N1012" s="42" t="str">
        <f>HYPERLINK("https://pronto.by/catalog/product/305-163.html", "https://pronto.by/catalog/product/305-163.html")</f>
        <v>https://pronto.by/catalog/product/305-163.html</v>
      </c>
    </row>
    <row r="1013" spans="1:14" customFormat="1" ht="82.8">
      <c r="A1013" s="35" t="s">
        <v>2284</v>
      </c>
      <c r="B1013" s="19" t="s">
        <v>2285</v>
      </c>
      <c r="C1013" s="20" t="s">
        <v>2286</v>
      </c>
      <c r="D1013" s="36" t="s">
        <v>28</v>
      </c>
      <c r="E1013" s="37" t="s">
        <v>3273</v>
      </c>
      <c r="F1013" s="43">
        <v>110.76</v>
      </c>
      <c r="G1013" s="100">
        <f t="shared" si="15"/>
        <v>110.76</v>
      </c>
      <c r="H1013" s="101"/>
      <c r="I1013" s="100">
        <f>G1013*H1013</f>
        <v>0</v>
      </c>
      <c r="J1013" s="39" t="s">
        <v>3336</v>
      </c>
      <c r="K1013" s="40" t="s">
        <v>41</v>
      </c>
      <c r="L1013" s="41"/>
      <c r="M1013" s="42" t="str">
        <f>HYPERLINK("https://catalog.onliner.by/xmaslights/neonnight/305166", "https://catalog.onliner.by/xmaslights/neonnight/305166")</f>
        <v>https://catalog.onliner.by/xmaslights/neonnight/305166</v>
      </c>
      <c r="N1013" s="42" t="str">
        <f>HYPERLINK("https://pronto.by/catalog/product/305-166.html", "https://pronto.by/catalog/product/305-166.html")</f>
        <v>https://pronto.by/catalog/product/305-166.html</v>
      </c>
    </row>
    <row r="1014" spans="1:14" customFormat="1" ht="82.8">
      <c r="A1014" s="35" t="s">
        <v>2287</v>
      </c>
      <c r="B1014" s="19" t="s">
        <v>2288</v>
      </c>
      <c r="C1014" s="20" t="s">
        <v>2289</v>
      </c>
      <c r="D1014" s="36" t="s">
        <v>28</v>
      </c>
      <c r="E1014" s="37" t="s">
        <v>3273</v>
      </c>
      <c r="F1014" s="43">
        <v>116.82000000000001</v>
      </c>
      <c r="G1014" s="100">
        <f t="shared" si="15"/>
        <v>116.82</v>
      </c>
      <c r="H1014" s="101"/>
      <c r="I1014" s="100">
        <f>G1014*H1014</f>
        <v>0</v>
      </c>
      <c r="J1014" s="39" t="s">
        <v>3336</v>
      </c>
      <c r="K1014" s="40" t="s">
        <v>69</v>
      </c>
      <c r="L1014" s="41"/>
      <c r="M1014" s="42" t="str">
        <f>HYPERLINK("https://catalog.onliner.by/xmaslights/neonnight/305136", "https://catalog.onliner.by/xmaslights/neonnight/305136")</f>
        <v>https://catalog.onliner.by/xmaslights/neonnight/305136</v>
      </c>
      <c r="N1014" s="42" t="str">
        <f>HYPERLINK("https://pronto.by/catalog/product/305-136.html", "https://pronto.by/catalog/product/305-136.html")</f>
        <v>https://pronto.by/catalog/product/305-136.html</v>
      </c>
    </row>
    <row r="1015" spans="1:14" customFormat="1" ht="69">
      <c r="A1015" s="35" t="s">
        <v>4014</v>
      </c>
      <c r="B1015" s="19" t="s">
        <v>4015</v>
      </c>
      <c r="C1015" s="20" t="s">
        <v>4016</v>
      </c>
      <c r="D1015" s="36" t="s">
        <v>28</v>
      </c>
      <c r="E1015" s="37" t="s">
        <v>3273</v>
      </c>
      <c r="F1015" s="43">
        <v>212.28</v>
      </c>
      <c r="G1015" s="100">
        <f t="shared" si="15"/>
        <v>212.28</v>
      </c>
      <c r="H1015" s="101"/>
      <c r="I1015" s="100">
        <f>G1015*H1015</f>
        <v>0</v>
      </c>
      <c r="J1015" s="39" t="s">
        <v>3336</v>
      </c>
      <c r="K1015" s="40" t="s">
        <v>2347</v>
      </c>
      <c r="L1015" s="41"/>
      <c r="M1015" s="42" t="str">
        <f>HYPERLINK("https://catalog.onliner.by/xmaslights/neonnight/245409245409", "https://catalog.onliner.by/xmaslights/neonnight/245409245409")</f>
        <v>https://catalog.onliner.by/xmaslights/neonnight/245409245409</v>
      </c>
      <c r="N1015" s="42" t="str">
        <f>HYPERLINK("https://pronto.by/catalog/product/245-409.html", "https://pronto.by/catalog/product/245-409.html")</f>
        <v>https://pronto.by/catalog/product/245-409.html</v>
      </c>
    </row>
    <row r="1016" spans="1:14" customFormat="1" ht="69">
      <c r="A1016" s="35" t="s">
        <v>2290</v>
      </c>
      <c r="B1016" s="19" t="s">
        <v>2291</v>
      </c>
      <c r="C1016" s="20" t="s">
        <v>2292</v>
      </c>
      <c r="D1016" s="36" t="s">
        <v>28</v>
      </c>
      <c r="E1016" s="37" t="s">
        <v>3275</v>
      </c>
      <c r="F1016" s="43">
        <v>110.76</v>
      </c>
      <c r="G1016" s="100">
        <f t="shared" si="15"/>
        <v>110.76</v>
      </c>
      <c r="H1016" s="101"/>
      <c r="I1016" s="100">
        <f>G1016*H1016</f>
        <v>0</v>
      </c>
      <c r="J1016" s="39" t="s">
        <v>3336</v>
      </c>
      <c r="K1016" s="40" t="s">
        <v>69</v>
      </c>
      <c r="L1016" s="41"/>
      <c r="M1016" s="42" t="str">
        <f>HYPERLINK("https://catalog.onliner.by/xmaslights/neonnight/305185", "https://catalog.onliner.by/xmaslights/neonnight/305185")</f>
        <v>https://catalog.onliner.by/xmaslights/neonnight/305185</v>
      </c>
      <c r="N1016" s="42" t="str">
        <f>HYPERLINK("https://pronto.by/catalog/product/305-185.html", "https://pronto.by/catalog/product/305-185.html")</f>
        <v>https://pronto.by/catalog/product/305-185.html</v>
      </c>
    </row>
    <row r="1017" spans="1:14" customFormat="1" ht="82.8">
      <c r="A1017" s="35" t="s">
        <v>2293</v>
      </c>
      <c r="B1017" s="19" t="s">
        <v>2294</v>
      </c>
      <c r="C1017" s="20" t="s">
        <v>2295</v>
      </c>
      <c r="D1017" s="36" t="s">
        <v>28</v>
      </c>
      <c r="E1017" s="37" t="s">
        <v>3273</v>
      </c>
      <c r="F1017" s="43">
        <v>116.82000000000001</v>
      </c>
      <c r="G1017" s="100">
        <f t="shared" si="15"/>
        <v>116.82</v>
      </c>
      <c r="H1017" s="101"/>
      <c r="I1017" s="100">
        <f>G1017*H1017</f>
        <v>0</v>
      </c>
      <c r="J1017" s="39" t="s">
        <v>3336</v>
      </c>
      <c r="K1017" s="40" t="s">
        <v>69</v>
      </c>
      <c r="L1017" s="41"/>
      <c r="M1017" s="42" t="str">
        <f>HYPERLINK("https://catalog.onliner.by/xmaslights/neonnight/305155", "https://catalog.onliner.by/xmaslights/neonnight/305155")</f>
        <v>https://catalog.onliner.by/xmaslights/neonnight/305155</v>
      </c>
      <c r="N1017" s="42" t="str">
        <f>HYPERLINK("https://pronto.by/catalog/product/305-155.html", "https://pronto.by/catalog/product/305-155.html")</f>
        <v>https://pronto.by/catalog/product/305-155.html</v>
      </c>
    </row>
    <row r="1018" spans="1:14" customFormat="1" ht="82.8">
      <c r="A1018" s="35" t="s">
        <v>2296</v>
      </c>
      <c r="B1018" s="19" t="s">
        <v>2297</v>
      </c>
      <c r="C1018" s="20" t="s">
        <v>2298</v>
      </c>
      <c r="D1018" s="36" t="s">
        <v>28</v>
      </c>
      <c r="E1018" s="37" t="s">
        <v>3273</v>
      </c>
      <c r="F1018" s="43">
        <v>110.76</v>
      </c>
      <c r="G1018" s="100">
        <f t="shared" si="15"/>
        <v>110.76</v>
      </c>
      <c r="H1018" s="101"/>
      <c r="I1018" s="100">
        <f>G1018*H1018</f>
        <v>0</v>
      </c>
      <c r="J1018" s="39" t="s">
        <v>3336</v>
      </c>
      <c r="K1018" s="40" t="s">
        <v>69</v>
      </c>
      <c r="L1018" s="41"/>
      <c r="M1018" s="42" t="str">
        <f>HYPERLINK("https://catalog.onliner.by/xmaslights/neonnight/305181", "https://catalog.onliner.by/xmaslights/neonnight/305181")</f>
        <v>https://catalog.onliner.by/xmaslights/neonnight/305181</v>
      </c>
      <c r="N1018" s="42" t="str">
        <f>HYPERLINK("https://pronto.by/catalog/product/305-181.html", "https://pronto.by/catalog/product/305-181.html")</f>
        <v>https://pronto.by/catalog/product/305-181.html</v>
      </c>
    </row>
    <row r="1019" spans="1:14" customFormat="1" ht="96.6">
      <c r="A1019" s="35" t="s">
        <v>2299</v>
      </c>
      <c r="B1019" s="19" t="s">
        <v>2300</v>
      </c>
      <c r="C1019" s="20" t="s">
        <v>2301</v>
      </c>
      <c r="D1019" s="36" t="s">
        <v>28</v>
      </c>
      <c r="E1019" s="37" t="s">
        <v>3273</v>
      </c>
      <c r="F1019" s="43">
        <v>116.82000000000001</v>
      </c>
      <c r="G1019" s="100">
        <f t="shared" si="15"/>
        <v>116.82</v>
      </c>
      <c r="H1019" s="101"/>
      <c r="I1019" s="100">
        <f>G1019*H1019</f>
        <v>0</v>
      </c>
      <c r="J1019" s="39" t="s">
        <v>3336</v>
      </c>
      <c r="K1019" s="40" t="s">
        <v>69</v>
      </c>
      <c r="L1019" s="41"/>
      <c r="M1019" s="42" t="str">
        <f>HYPERLINK("https://catalog.onliner.by/xmaslights/neonnight/305151", "https://catalog.onliner.by/xmaslights/neonnight/305151")</f>
        <v>https://catalog.onliner.by/xmaslights/neonnight/305151</v>
      </c>
      <c r="N1019" s="42" t="str">
        <f>HYPERLINK("https://pronto.by/catalog/product/305-151.html", "https://pronto.by/catalog/product/305-151.html")</f>
        <v>https://pronto.by/catalog/product/305-151.html</v>
      </c>
    </row>
    <row r="1020" spans="1:14" customFormat="1" ht="69">
      <c r="A1020" s="53" t="s">
        <v>4017</v>
      </c>
      <c r="B1020" s="60" t="s">
        <v>4018</v>
      </c>
      <c r="C1020" s="20" t="s">
        <v>4019</v>
      </c>
      <c r="D1020" s="36" t="s">
        <v>28</v>
      </c>
      <c r="E1020" s="37"/>
      <c r="F1020" s="43">
        <v>113.7</v>
      </c>
      <c r="G1020" s="100">
        <f t="shared" si="15"/>
        <v>113.7</v>
      </c>
      <c r="H1020" s="101"/>
      <c r="I1020" s="100">
        <f>G1020*H1020</f>
        <v>0</v>
      </c>
      <c r="J1020" s="39" t="s">
        <v>3336</v>
      </c>
      <c r="K1020" s="40"/>
      <c r="L1020" s="41"/>
      <c r="M1020" s="44"/>
      <c r="N1020" s="44"/>
    </row>
    <row r="1021" spans="1:14" customFormat="1" ht="69">
      <c r="A1021" s="53" t="s">
        <v>4020</v>
      </c>
      <c r="B1021" s="60" t="s">
        <v>4021</v>
      </c>
      <c r="C1021" s="20" t="s">
        <v>4022</v>
      </c>
      <c r="D1021" s="36" t="s">
        <v>28</v>
      </c>
      <c r="E1021" s="37"/>
      <c r="F1021" s="43">
        <v>130.26000000000002</v>
      </c>
      <c r="G1021" s="100">
        <f t="shared" si="15"/>
        <v>130.26</v>
      </c>
      <c r="H1021" s="101"/>
      <c r="I1021" s="100">
        <f>G1021*H1021</f>
        <v>0</v>
      </c>
      <c r="J1021" s="39" t="s">
        <v>3336</v>
      </c>
      <c r="K1021" s="40"/>
      <c r="L1021" s="41"/>
      <c r="M1021" s="44"/>
      <c r="N1021" s="44"/>
    </row>
    <row r="1022" spans="1:14" customFormat="1" ht="82.8">
      <c r="A1022" s="35" t="s">
        <v>2302</v>
      </c>
      <c r="B1022" s="19" t="s">
        <v>2303</v>
      </c>
      <c r="C1022" s="20" t="s">
        <v>2304</v>
      </c>
      <c r="D1022" s="36" t="s">
        <v>28</v>
      </c>
      <c r="E1022" s="37" t="s">
        <v>3273</v>
      </c>
      <c r="F1022" s="43">
        <v>110.76</v>
      </c>
      <c r="G1022" s="100">
        <f t="shared" si="15"/>
        <v>110.76</v>
      </c>
      <c r="H1022" s="101"/>
      <c r="I1022" s="100">
        <f>G1022*H1022</f>
        <v>0</v>
      </c>
      <c r="J1022" s="39" t="s">
        <v>3336</v>
      </c>
      <c r="K1022" s="40" t="s">
        <v>69</v>
      </c>
      <c r="L1022" s="41"/>
      <c r="M1022" s="42" t="str">
        <f>HYPERLINK("https://catalog.onliner.by/xmaslights/neonnight/305184", "https://catalog.onliner.by/xmaslights/neonnight/305184")</f>
        <v>https://catalog.onliner.by/xmaslights/neonnight/305184</v>
      </c>
      <c r="N1022" s="42" t="str">
        <f>HYPERLINK("https://pronto.by/catalog/product/305-184.html", "https://pronto.by/catalog/product/305-184.html")</f>
        <v>https://pronto.by/catalog/product/305-184.html</v>
      </c>
    </row>
    <row r="1023" spans="1:14" customFormat="1" ht="82.8">
      <c r="A1023" s="35" t="s">
        <v>2305</v>
      </c>
      <c r="B1023" s="19" t="s">
        <v>2306</v>
      </c>
      <c r="C1023" s="20" t="s">
        <v>2307</v>
      </c>
      <c r="D1023" s="36" t="s">
        <v>28</v>
      </c>
      <c r="E1023" s="37" t="s">
        <v>3273</v>
      </c>
      <c r="F1023" s="43">
        <v>110.76</v>
      </c>
      <c r="G1023" s="100">
        <f t="shared" si="15"/>
        <v>110.76</v>
      </c>
      <c r="H1023" s="101"/>
      <c r="I1023" s="100">
        <f>G1023*H1023</f>
        <v>0</v>
      </c>
      <c r="J1023" s="39" t="s">
        <v>3336</v>
      </c>
      <c r="K1023" s="40" t="s">
        <v>69</v>
      </c>
      <c r="L1023" s="41"/>
      <c r="M1023" s="42" t="str">
        <f>HYPERLINK("https://catalog.onliner.by/xmaslights/neonnight/305182", "https://catalog.onliner.by/xmaslights/neonnight/305182")</f>
        <v>https://catalog.onliner.by/xmaslights/neonnight/305182</v>
      </c>
      <c r="N1023" s="42" t="str">
        <f>HYPERLINK("https://pronto.by/catalog/product/305-182.html", "https://pronto.by/catalog/product/305-182.html")</f>
        <v>https://pronto.by/catalog/product/305-182.html</v>
      </c>
    </row>
    <row r="1024" spans="1:14" customFormat="1" ht="82.8">
      <c r="A1024" s="35" t="s">
        <v>2308</v>
      </c>
      <c r="B1024" s="19" t="s">
        <v>2309</v>
      </c>
      <c r="C1024" s="20" t="s">
        <v>2310</v>
      </c>
      <c r="D1024" s="36" t="s">
        <v>28</v>
      </c>
      <c r="E1024" s="37" t="s">
        <v>3272</v>
      </c>
      <c r="F1024" s="43">
        <v>110.76</v>
      </c>
      <c r="G1024" s="100">
        <f t="shared" si="15"/>
        <v>110.76</v>
      </c>
      <c r="H1024" s="101"/>
      <c r="I1024" s="100">
        <f>G1024*H1024</f>
        <v>0</v>
      </c>
      <c r="J1024" s="39" t="s">
        <v>3336</v>
      </c>
      <c r="K1024" s="40" t="s">
        <v>69</v>
      </c>
      <c r="L1024" s="41"/>
      <c r="M1024" s="42" t="str">
        <f>HYPERLINK("https://catalog.onliner.by/xmaslights/neonnight/305189", "https://catalog.onliner.by/xmaslights/neonnight/305189")</f>
        <v>https://catalog.onliner.by/xmaslights/neonnight/305189</v>
      </c>
      <c r="N1024" s="42" t="str">
        <f>HYPERLINK("https://pronto.by/catalog/product/305-189.html", "https://pronto.by/catalog/product/305-189.html")</f>
        <v>https://pronto.by/catalog/product/305-189.html</v>
      </c>
    </row>
    <row r="1025" spans="1:14" customFormat="1" ht="96.6">
      <c r="A1025" s="35" t="s">
        <v>2311</v>
      </c>
      <c r="B1025" s="19" t="s">
        <v>2312</v>
      </c>
      <c r="C1025" s="20" t="s">
        <v>2313</v>
      </c>
      <c r="D1025" s="36" t="s">
        <v>28</v>
      </c>
      <c r="E1025" s="37" t="s">
        <v>3272</v>
      </c>
      <c r="F1025" s="43">
        <v>116.82000000000001</v>
      </c>
      <c r="G1025" s="100">
        <f t="shared" si="15"/>
        <v>116.82</v>
      </c>
      <c r="H1025" s="101"/>
      <c r="I1025" s="100">
        <f>G1025*H1025</f>
        <v>0</v>
      </c>
      <c r="J1025" s="39" t="s">
        <v>3336</v>
      </c>
      <c r="K1025" s="40" t="s">
        <v>41</v>
      </c>
      <c r="L1025" s="41"/>
      <c r="M1025" s="42" t="str">
        <f>HYPERLINK("https://catalog.onliner.by/xmaslights/neonnight/305159", "https://catalog.onliner.by/xmaslights/neonnight/305159")</f>
        <v>https://catalog.onliner.by/xmaslights/neonnight/305159</v>
      </c>
      <c r="N1025" s="42" t="str">
        <f>HYPERLINK("https://pronto.by/catalog/product/305-159.html", "https://pronto.by/catalog/product/305-159.html")</f>
        <v>https://pronto.by/catalog/product/305-159.html</v>
      </c>
    </row>
    <row r="1026" spans="1:14" customFormat="1" ht="82.8">
      <c r="A1026" s="35" t="s">
        <v>2314</v>
      </c>
      <c r="B1026" s="19" t="s">
        <v>2315</v>
      </c>
      <c r="C1026" s="20" t="s">
        <v>2316</v>
      </c>
      <c r="D1026" s="36" t="s">
        <v>28</v>
      </c>
      <c r="E1026" s="37" t="s">
        <v>3272</v>
      </c>
      <c r="F1026" s="43">
        <v>110.76</v>
      </c>
      <c r="G1026" s="100">
        <f t="shared" si="15"/>
        <v>110.76</v>
      </c>
      <c r="H1026" s="101"/>
      <c r="I1026" s="100">
        <f>G1026*H1026</f>
        <v>0</v>
      </c>
      <c r="J1026" s="39" t="s">
        <v>3336</v>
      </c>
      <c r="K1026" s="40" t="s">
        <v>69</v>
      </c>
      <c r="L1026" s="41"/>
      <c r="M1026" s="42" t="str">
        <f>HYPERLINK("https://catalog.onliner.by/xmaslights/neonnight/305183", "https://catalog.onliner.by/xmaslights/neonnight/305183")</f>
        <v>https://catalog.onliner.by/xmaslights/neonnight/305183</v>
      </c>
      <c r="N1026" s="42" t="str">
        <f>HYPERLINK("https://pronto.by/catalog/product/305-183.html", "https://pronto.by/catalog/product/305-183.html")</f>
        <v>https://pronto.by/catalog/product/305-183.html</v>
      </c>
    </row>
    <row r="1027" spans="1:14" customFormat="1" ht="82.8">
      <c r="A1027" s="35" t="s">
        <v>2317</v>
      </c>
      <c r="B1027" s="19" t="s">
        <v>2318</v>
      </c>
      <c r="C1027" s="20" t="s">
        <v>2319</v>
      </c>
      <c r="D1027" s="36" t="s">
        <v>28</v>
      </c>
      <c r="E1027" s="37" t="s">
        <v>3275</v>
      </c>
      <c r="F1027" s="43">
        <v>110.76</v>
      </c>
      <c r="G1027" s="100">
        <f t="shared" si="15"/>
        <v>110.76</v>
      </c>
      <c r="H1027" s="101"/>
      <c r="I1027" s="100">
        <f>G1027*H1027</f>
        <v>0</v>
      </c>
      <c r="J1027" s="39" t="s">
        <v>3336</v>
      </c>
      <c r="K1027" s="40" t="s">
        <v>69</v>
      </c>
      <c r="L1027" s="41"/>
      <c r="M1027" s="42" t="str">
        <f>HYPERLINK("https://catalog.onliner.by/xmaslights/neonnight/305186", "https://catalog.onliner.by/xmaslights/neonnight/305186")</f>
        <v>https://catalog.onliner.by/xmaslights/neonnight/305186</v>
      </c>
      <c r="N1027" s="42" t="str">
        <f>HYPERLINK("https://pronto.by/catalog/product/305-186.html", "https://pronto.by/catalog/product/305-186.html")</f>
        <v>https://pronto.by/catalog/product/305-186.html</v>
      </c>
    </row>
    <row r="1028" spans="1:14" customFormat="1" ht="96.6">
      <c r="A1028" s="35" t="s">
        <v>2320</v>
      </c>
      <c r="B1028" s="19" t="s">
        <v>2321</v>
      </c>
      <c r="C1028" s="20" t="s">
        <v>2322</v>
      </c>
      <c r="D1028" s="36" t="s">
        <v>28</v>
      </c>
      <c r="E1028" s="37" t="s">
        <v>3273</v>
      </c>
      <c r="F1028" s="43">
        <v>116.82000000000001</v>
      </c>
      <c r="G1028" s="100">
        <f t="shared" si="15"/>
        <v>116.82</v>
      </c>
      <c r="H1028" s="101"/>
      <c r="I1028" s="100">
        <f>G1028*H1028</f>
        <v>0</v>
      </c>
      <c r="J1028" s="39" t="s">
        <v>3336</v>
      </c>
      <c r="K1028" s="40" t="s">
        <v>69</v>
      </c>
      <c r="L1028" s="41"/>
      <c r="M1028" s="42" t="str">
        <f>HYPERLINK("https://catalog.onliner.by/xmaslights/neonnight/305156", "https://catalog.onliner.by/xmaslights/neonnight/305156")</f>
        <v>https://catalog.onliner.by/xmaslights/neonnight/305156</v>
      </c>
      <c r="N1028" s="42" t="str">
        <f>HYPERLINK("https://pronto.by/catalog/product/305-156.html", "https://pronto.by/catalog/product/305-156.html")</f>
        <v>https://pronto.by/catalog/product/305-156.html</v>
      </c>
    </row>
    <row r="1029" spans="1:14" customFormat="1" ht="69">
      <c r="A1029" s="35" t="s">
        <v>2323</v>
      </c>
      <c r="B1029" s="19" t="s">
        <v>2324</v>
      </c>
      <c r="C1029" s="20" t="s">
        <v>2325</v>
      </c>
      <c r="D1029" s="36" t="s">
        <v>28</v>
      </c>
      <c r="E1029" s="37" t="s">
        <v>3282</v>
      </c>
      <c r="F1029" s="43">
        <v>178.26000000000002</v>
      </c>
      <c r="G1029" s="100">
        <f t="shared" si="15"/>
        <v>178.26</v>
      </c>
      <c r="H1029" s="101"/>
      <c r="I1029" s="100">
        <f>G1029*H1029</f>
        <v>0</v>
      </c>
      <c r="J1029" s="39" t="s">
        <v>3336</v>
      </c>
      <c r="K1029" s="40" t="s">
        <v>41</v>
      </c>
      <c r="L1029" s="41"/>
      <c r="M1029" s="42" t="str">
        <f>HYPERLINK("https://catalog.onliner.by/xmaslights/neonnight/nn305195", "https://catalog.onliner.by/xmaslights/neonnight/nn305195")</f>
        <v>https://catalog.onliner.by/xmaslights/neonnight/nn305195</v>
      </c>
      <c r="N1029" s="42" t="str">
        <f>HYPERLINK("https://pronto.by/catalog/product/305-195.html", "https://pronto.by/catalog/product/305-195.html")</f>
        <v>https://pronto.by/catalog/product/305-195.html</v>
      </c>
    </row>
    <row r="1030" spans="1:14" customFormat="1" ht="82.8">
      <c r="A1030" s="35" t="s">
        <v>2326</v>
      </c>
      <c r="B1030" s="19" t="s">
        <v>2327</v>
      </c>
      <c r="C1030" s="20" t="s">
        <v>2328</v>
      </c>
      <c r="D1030" s="36" t="s">
        <v>28</v>
      </c>
      <c r="E1030" s="37" t="s">
        <v>3283</v>
      </c>
      <c r="F1030" s="43">
        <v>178.26000000000002</v>
      </c>
      <c r="G1030" s="100">
        <f t="shared" si="15"/>
        <v>178.26</v>
      </c>
      <c r="H1030" s="101"/>
      <c r="I1030" s="100">
        <f>G1030*H1030</f>
        <v>0</v>
      </c>
      <c r="J1030" s="39" t="s">
        <v>3336</v>
      </c>
      <c r="K1030" s="40" t="s">
        <v>69</v>
      </c>
      <c r="L1030" s="41"/>
      <c r="M1030" s="42" t="str">
        <f>HYPERLINK("https://catalog.onliner.by/xmaslights/neonnight/nn305196", "https://catalog.onliner.by/xmaslights/neonnight/nn305196")</f>
        <v>https://catalog.onliner.by/xmaslights/neonnight/nn305196</v>
      </c>
      <c r="N1030" s="42" t="str">
        <f>HYPERLINK("https://pronto.by/catalog/product/305-196.html", "https://pronto.by/catalog/product/305-196.html")</f>
        <v>https://pronto.by/catalog/product/305-196.html</v>
      </c>
    </row>
    <row r="1031" spans="1:14" customFormat="1" ht="69">
      <c r="A1031" s="35" t="s">
        <v>2329</v>
      </c>
      <c r="B1031" s="19" t="s">
        <v>2330</v>
      </c>
      <c r="C1031" s="20" t="s">
        <v>2331</v>
      </c>
      <c r="D1031" s="36" t="s">
        <v>28</v>
      </c>
      <c r="E1031" s="37" t="s">
        <v>3275</v>
      </c>
      <c r="F1031" s="43">
        <v>110.76</v>
      </c>
      <c r="G1031" s="100">
        <f t="shared" si="15"/>
        <v>110.76</v>
      </c>
      <c r="H1031" s="101"/>
      <c r="I1031" s="100">
        <f>G1031*H1031</f>
        <v>0</v>
      </c>
      <c r="J1031" s="39" t="s">
        <v>3336</v>
      </c>
      <c r="K1031" s="40" t="s">
        <v>41</v>
      </c>
      <c r="L1031" s="41"/>
      <c r="M1031" s="42" t="str">
        <f>HYPERLINK("https://catalog.onliner.by/xmaslights/neonnight/305175", "https://catalog.onliner.by/xmaslights/neonnight/305175")</f>
        <v>https://catalog.onliner.by/xmaslights/neonnight/305175</v>
      </c>
      <c r="N1031" s="42" t="str">
        <f>HYPERLINK("https://pronto.by/catalog/product/305-175.html", "https://pronto.by/catalog/product/305-175.html")</f>
        <v>https://pronto.by/catalog/product/305-175.html</v>
      </c>
    </row>
    <row r="1032" spans="1:14" customFormat="1" ht="82.8">
      <c r="A1032" s="35" t="s">
        <v>2332</v>
      </c>
      <c r="B1032" s="19" t="s">
        <v>2333</v>
      </c>
      <c r="C1032" s="20" t="s">
        <v>2334</v>
      </c>
      <c r="D1032" s="36" t="s">
        <v>28</v>
      </c>
      <c r="E1032" s="37" t="s">
        <v>3275</v>
      </c>
      <c r="F1032" s="43">
        <v>116.82000000000001</v>
      </c>
      <c r="G1032" s="100">
        <f t="shared" si="15"/>
        <v>116.82</v>
      </c>
      <c r="H1032" s="101"/>
      <c r="I1032" s="100">
        <f>G1032*H1032</f>
        <v>0</v>
      </c>
      <c r="J1032" s="39" t="s">
        <v>3336</v>
      </c>
      <c r="K1032" s="40" t="s">
        <v>41</v>
      </c>
      <c r="L1032" s="41"/>
      <c r="M1032" s="42" t="str">
        <f>HYPERLINK("https://catalog.onliner.by/xmaslights/neonnight/305145", "https://catalog.onliner.by/xmaslights/neonnight/305145")</f>
        <v>https://catalog.onliner.by/xmaslights/neonnight/305145</v>
      </c>
      <c r="N1032" s="42" t="str">
        <f>HYPERLINK("https://pronto.by/catalog/product/305-145.html", "https://pronto.by/catalog/product/305-145.html")</f>
        <v>https://pronto.by/catalog/product/305-145.html</v>
      </c>
    </row>
    <row r="1033" spans="1:14" customFormat="1" ht="69">
      <c r="A1033" s="35" t="s">
        <v>2335</v>
      </c>
      <c r="B1033" s="19" t="s">
        <v>2336</v>
      </c>
      <c r="C1033" s="20" t="s">
        <v>2337</v>
      </c>
      <c r="D1033" s="36" t="s">
        <v>28</v>
      </c>
      <c r="E1033" s="37" t="s">
        <v>3272</v>
      </c>
      <c r="F1033" s="43">
        <v>110.76</v>
      </c>
      <c r="G1033" s="100">
        <f t="shared" si="15"/>
        <v>110.76</v>
      </c>
      <c r="H1033" s="101"/>
      <c r="I1033" s="100">
        <f>G1033*H1033</f>
        <v>0</v>
      </c>
      <c r="J1033" s="39" t="s">
        <v>3336</v>
      </c>
      <c r="K1033" s="40" t="s">
        <v>69</v>
      </c>
      <c r="L1033" s="41"/>
      <c r="M1033" s="42" t="str">
        <f>HYPERLINK("https://catalog.onliner.by/xmaslights/neonnight/305171", "https://catalog.onliner.by/xmaslights/neonnight/305171")</f>
        <v>https://catalog.onliner.by/xmaslights/neonnight/305171</v>
      </c>
      <c r="N1033" s="42" t="str">
        <f>HYPERLINK("https://pronto.by/catalog/product/305-171.html", "https://pronto.by/catalog/product/305-171.html")</f>
        <v>https://pronto.by/catalog/product/305-171.html</v>
      </c>
    </row>
    <row r="1034" spans="1:14" customFormat="1" ht="82.8">
      <c r="A1034" s="35" t="s">
        <v>4023</v>
      </c>
      <c r="B1034" s="19" t="s">
        <v>4024</v>
      </c>
      <c r="C1034" s="20" t="s">
        <v>4025</v>
      </c>
      <c r="D1034" s="36" t="s">
        <v>28</v>
      </c>
      <c r="E1034" s="37" t="s">
        <v>3273</v>
      </c>
      <c r="F1034" s="43">
        <v>92.399999999999991</v>
      </c>
      <c r="G1034" s="100">
        <f t="shared" si="15"/>
        <v>92.4</v>
      </c>
      <c r="H1034" s="101"/>
      <c r="I1034" s="100">
        <f>G1034*H1034</f>
        <v>0</v>
      </c>
      <c r="J1034" s="39" t="s">
        <v>3336</v>
      </c>
      <c r="K1034" s="40" t="s">
        <v>41</v>
      </c>
      <c r="L1034" s="41"/>
      <c r="M1034" s="42" t="str">
        <f>HYPERLINK("https://catalog.onliner.by/xmaslights/neonnight/305142", "https://catalog.onliner.by/xmaslights/neonnight/305142")</f>
        <v>https://catalog.onliner.by/xmaslights/neonnight/305142</v>
      </c>
      <c r="N1034" s="42" t="str">
        <f>HYPERLINK("https://pronto.by/catalog/product/305-142.html", "https://pronto.by/catalog/product/305-142.html")</f>
        <v>https://pronto.by/catalog/product/305-142.html</v>
      </c>
    </row>
    <row r="1035" spans="1:14" customFormat="1" ht="82.8">
      <c r="A1035" s="35" t="s">
        <v>2338</v>
      </c>
      <c r="B1035" s="19" t="s">
        <v>2339</v>
      </c>
      <c r="C1035" s="20" t="s">
        <v>2340</v>
      </c>
      <c r="D1035" s="36" t="s">
        <v>28</v>
      </c>
      <c r="E1035" s="37" t="s">
        <v>3272</v>
      </c>
      <c r="F1035" s="43">
        <v>110.76</v>
      </c>
      <c r="G1035" s="100">
        <f t="shared" si="15"/>
        <v>110.76</v>
      </c>
      <c r="H1035" s="101"/>
      <c r="I1035" s="100">
        <f>G1035*H1035</f>
        <v>0</v>
      </c>
      <c r="J1035" s="39" t="s">
        <v>3336</v>
      </c>
      <c r="K1035" s="40" t="s">
        <v>69</v>
      </c>
      <c r="L1035" s="41"/>
      <c r="M1035" s="42" t="str">
        <f>HYPERLINK("https://catalog.onliner.by/xmaslights/neonnight/305179", "https://catalog.onliner.by/xmaslights/neonnight/305179")</f>
        <v>https://catalog.onliner.by/xmaslights/neonnight/305179</v>
      </c>
      <c r="N1035" s="42" t="str">
        <f>HYPERLINK("https://pronto.by/catalog/product/305-179.html", "https://pronto.by/catalog/product/305-179.html")</f>
        <v>https://pronto.by/catalog/product/305-179.html</v>
      </c>
    </row>
    <row r="1036" spans="1:14" customFormat="1" ht="69">
      <c r="A1036" s="35" t="s">
        <v>2341</v>
      </c>
      <c r="B1036" s="19" t="s">
        <v>2342</v>
      </c>
      <c r="C1036" s="20" t="s">
        <v>2343</v>
      </c>
      <c r="D1036" s="36" t="s">
        <v>28</v>
      </c>
      <c r="E1036" s="37" t="s">
        <v>3273</v>
      </c>
      <c r="F1036" s="43">
        <v>110.76</v>
      </c>
      <c r="G1036" s="100">
        <f t="shared" si="15"/>
        <v>110.76</v>
      </c>
      <c r="H1036" s="101"/>
      <c r="I1036" s="100">
        <f>G1036*H1036</f>
        <v>0</v>
      </c>
      <c r="J1036" s="39" t="s">
        <v>3336</v>
      </c>
      <c r="K1036" s="40" t="s">
        <v>41</v>
      </c>
      <c r="L1036" s="41"/>
      <c r="M1036" s="42" t="str">
        <f>HYPERLINK("https://catalog.onliner.by/xmaslights/neonnight/305173", "https://catalog.onliner.by/xmaslights/neonnight/305173")</f>
        <v>https://catalog.onliner.by/xmaslights/neonnight/305173</v>
      </c>
      <c r="N1036" s="42" t="str">
        <f>HYPERLINK("https://pronto.by/catalog/product/305-173.html", "https://pronto.by/catalog/product/305-173.html")</f>
        <v>https://pronto.by/catalog/product/305-173.html</v>
      </c>
    </row>
    <row r="1037" spans="1:14" customFormat="1" ht="82.8">
      <c r="A1037" s="35" t="s">
        <v>2344</v>
      </c>
      <c r="B1037" s="19" t="s">
        <v>2345</v>
      </c>
      <c r="C1037" s="20" t="s">
        <v>2346</v>
      </c>
      <c r="D1037" s="36" t="s">
        <v>28</v>
      </c>
      <c r="E1037" s="37" t="s">
        <v>3273</v>
      </c>
      <c r="F1037" s="43">
        <v>110.76</v>
      </c>
      <c r="G1037" s="100">
        <f t="shared" si="15"/>
        <v>110.76</v>
      </c>
      <c r="H1037" s="101"/>
      <c r="I1037" s="100">
        <f>G1037*H1037</f>
        <v>0</v>
      </c>
      <c r="J1037" s="39" t="s">
        <v>3336</v>
      </c>
      <c r="K1037" s="40" t="s">
        <v>2347</v>
      </c>
      <c r="L1037" s="41"/>
      <c r="M1037" s="42" t="str">
        <f>HYPERLINK("https://catalog.onliner.by/xmaslights/neonnight/305176", "https://catalog.onliner.by/xmaslights/neonnight/305176")</f>
        <v>https://catalog.onliner.by/xmaslights/neonnight/305176</v>
      </c>
      <c r="N1037" s="42" t="str">
        <f>HYPERLINK("https://pronto.by/catalog/product/305-176.html", "https://pronto.by/catalog/product/305-176.html")</f>
        <v>https://pronto.by/catalog/product/305-176.html</v>
      </c>
    </row>
    <row r="1038" spans="1:14" customFormat="1" ht="82.8">
      <c r="A1038" s="35" t="s">
        <v>2348</v>
      </c>
      <c r="B1038" s="19" t="s">
        <v>2349</v>
      </c>
      <c r="C1038" s="20" t="s">
        <v>2350</v>
      </c>
      <c r="D1038" s="36" t="s">
        <v>28</v>
      </c>
      <c r="E1038" s="37" t="s">
        <v>3273</v>
      </c>
      <c r="F1038" s="43">
        <v>116.82000000000001</v>
      </c>
      <c r="G1038" s="100">
        <f t="shared" si="15"/>
        <v>116.82</v>
      </c>
      <c r="H1038" s="101"/>
      <c r="I1038" s="100">
        <f>G1038*H1038</f>
        <v>0</v>
      </c>
      <c r="J1038" s="39" t="s">
        <v>3336</v>
      </c>
      <c r="K1038" s="40" t="s">
        <v>69</v>
      </c>
      <c r="L1038" s="41"/>
      <c r="M1038" s="42" t="str">
        <f>HYPERLINK("https://catalog.onliner.by/xmaslights/neonnight/305146", "https://catalog.onliner.by/xmaslights/neonnight/305146")</f>
        <v>https://catalog.onliner.by/xmaslights/neonnight/305146</v>
      </c>
      <c r="N1038" s="42" t="str">
        <f>HYPERLINK("https://pronto.by/catalog/product/305-146.html", "https://pronto.by/catalog/product/305-146.html")</f>
        <v>https://pronto.by/catalog/product/305-146.html</v>
      </c>
    </row>
    <row r="1039" spans="1:14" customFormat="1" ht="69">
      <c r="A1039" s="35" t="s">
        <v>2351</v>
      </c>
      <c r="B1039" s="19" t="s">
        <v>2352</v>
      </c>
      <c r="C1039" s="20" t="s">
        <v>2353</v>
      </c>
      <c r="D1039" s="36" t="s">
        <v>28</v>
      </c>
      <c r="E1039" s="37" t="s">
        <v>3295</v>
      </c>
      <c r="F1039" s="43">
        <v>250.2</v>
      </c>
      <c r="G1039" s="100">
        <f t="shared" ref="G1039:G1102" si="16">ROUND(F1039-F1039*G$3,2)</f>
        <v>250.2</v>
      </c>
      <c r="H1039" s="101"/>
      <c r="I1039" s="100">
        <f>G1039*H1039</f>
        <v>0</v>
      </c>
      <c r="J1039" s="39" t="s">
        <v>3336</v>
      </c>
      <c r="K1039" s="40" t="s">
        <v>41</v>
      </c>
      <c r="L1039" s="41"/>
      <c r="M1039" s="42" t="str">
        <f>HYPERLINK("https://catalog.onliner.by/xmaslights/neonnight/nn315125", "https://catalog.onliner.by/xmaslights/neonnight/nn315125")</f>
        <v>https://catalog.onliner.by/xmaslights/neonnight/nn315125</v>
      </c>
      <c r="N1039" s="42" t="str">
        <f>HYPERLINK("https://pronto.by/catalog/product/315-125.html", "https://pronto.by/catalog/product/315-125.html")</f>
        <v>https://pronto.by/catalog/product/315-125.html</v>
      </c>
    </row>
    <row r="1040" spans="1:14" customFormat="1" ht="69">
      <c r="A1040" s="35" t="s">
        <v>4026</v>
      </c>
      <c r="B1040" s="19" t="s">
        <v>4027</v>
      </c>
      <c r="C1040" s="20" t="s">
        <v>4028</v>
      </c>
      <c r="D1040" s="36" t="s">
        <v>28</v>
      </c>
      <c r="E1040" s="37" t="s">
        <v>3290</v>
      </c>
      <c r="F1040" s="43">
        <v>164.16</v>
      </c>
      <c r="G1040" s="100">
        <f t="shared" si="16"/>
        <v>164.16</v>
      </c>
      <c r="H1040" s="101"/>
      <c r="I1040" s="100">
        <f>G1040*H1040</f>
        <v>0</v>
      </c>
      <c r="J1040" s="39" t="s">
        <v>3336</v>
      </c>
      <c r="K1040" s="40" t="s">
        <v>41</v>
      </c>
      <c r="L1040" s="41"/>
      <c r="M1040" s="42" t="str">
        <f>HYPERLINK("https://catalog.onliner.by/xmaslights/neonnight/nn315115", "https://catalog.onliner.by/xmaslights/neonnight/nn315115")</f>
        <v>https://catalog.onliner.by/xmaslights/neonnight/nn315115</v>
      </c>
      <c r="N1040" s="42" t="str">
        <f>HYPERLINK("https://pronto.by/catalog/product/315-115.html", "https://pronto.by/catalog/product/315-115.html")</f>
        <v>https://pronto.by/catalog/product/315-115.html</v>
      </c>
    </row>
    <row r="1041" spans="1:14" customFormat="1" ht="82.8">
      <c r="A1041" s="35" t="s">
        <v>4029</v>
      </c>
      <c r="B1041" s="19" t="s">
        <v>4030</v>
      </c>
      <c r="C1041" s="20" t="s">
        <v>4031</v>
      </c>
      <c r="D1041" s="36" t="s">
        <v>28</v>
      </c>
      <c r="E1041" s="37" t="s">
        <v>3290</v>
      </c>
      <c r="F1041" s="43">
        <v>202.68</v>
      </c>
      <c r="G1041" s="100">
        <f t="shared" si="16"/>
        <v>202.68</v>
      </c>
      <c r="H1041" s="101"/>
      <c r="I1041" s="100">
        <f>G1041*H1041</f>
        <v>0</v>
      </c>
      <c r="J1041" s="39" t="s">
        <v>3336</v>
      </c>
      <c r="K1041" s="40" t="s">
        <v>41</v>
      </c>
      <c r="L1041" s="41"/>
      <c r="M1041" s="42" t="str">
        <f>HYPERLINK("https://catalog.onliner.by/xmaslights/neonnight/nn315116", "https://catalog.onliner.by/xmaslights/neonnight/nn315116")</f>
        <v>https://catalog.onliner.by/xmaslights/neonnight/nn315116</v>
      </c>
      <c r="N1041" s="42" t="str">
        <f>HYPERLINK("https://pronto.by/catalog/product/315-116.html", "https://pronto.by/catalog/product/315-116.html")</f>
        <v>https://pronto.by/catalog/product/315-116.html</v>
      </c>
    </row>
    <row r="1042" spans="1:14" customFormat="1" ht="82.8">
      <c r="A1042" s="35" t="s">
        <v>2354</v>
      </c>
      <c r="B1042" s="19" t="s">
        <v>2355</v>
      </c>
      <c r="C1042" s="20" t="s">
        <v>2356</v>
      </c>
      <c r="D1042" s="36" t="s">
        <v>28</v>
      </c>
      <c r="E1042" s="37" t="s">
        <v>3273</v>
      </c>
      <c r="F1042" s="43">
        <v>115.02000000000001</v>
      </c>
      <c r="G1042" s="100">
        <f t="shared" si="16"/>
        <v>115.02</v>
      </c>
      <c r="H1042" s="101"/>
      <c r="I1042" s="100">
        <f>G1042*H1042</f>
        <v>0</v>
      </c>
      <c r="J1042" s="39" t="s">
        <v>3336</v>
      </c>
      <c r="K1042" s="40" t="s">
        <v>69</v>
      </c>
      <c r="L1042" s="41"/>
      <c r="M1042" s="42" t="str">
        <f>HYPERLINK("https://catalog.onliner.by/xmaslights/neonnight/305266", "https://catalog.onliner.by/xmaslights/neonnight/305266")</f>
        <v>https://catalog.onliner.by/xmaslights/neonnight/305266</v>
      </c>
      <c r="N1042" s="42" t="str">
        <f>HYPERLINK("https://pronto.by/catalog/product/305-266.html", "https://pronto.by/catalog/product/305-266.html")</f>
        <v>https://pronto.by/catalog/product/305-266.html</v>
      </c>
    </row>
    <row r="1043" spans="1:14" customFormat="1" ht="82.8">
      <c r="A1043" s="35" t="s">
        <v>2357</v>
      </c>
      <c r="B1043" s="19" t="s">
        <v>2358</v>
      </c>
      <c r="C1043" s="20" t="s">
        <v>2359</v>
      </c>
      <c r="D1043" s="36" t="s">
        <v>28</v>
      </c>
      <c r="E1043" s="37" t="s">
        <v>3273</v>
      </c>
      <c r="F1043" s="43">
        <v>115.02000000000001</v>
      </c>
      <c r="G1043" s="100">
        <f t="shared" si="16"/>
        <v>115.02</v>
      </c>
      <c r="H1043" s="101"/>
      <c r="I1043" s="100">
        <f>G1043*H1043</f>
        <v>0</v>
      </c>
      <c r="J1043" s="39" t="s">
        <v>3336</v>
      </c>
      <c r="K1043" s="40" t="s">
        <v>69</v>
      </c>
      <c r="L1043" s="41"/>
      <c r="M1043" s="42" t="str">
        <f>HYPERLINK("https://catalog.onliner.by/xmaslights/neonnight/305281", "https://catalog.onliner.by/xmaslights/neonnight/305281")</f>
        <v>https://catalog.onliner.by/xmaslights/neonnight/305281</v>
      </c>
      <c r="N1043" s="42" t="str">
        <f>HYPERLINK("https://pronto.by/catalog/product/305-281.html", "https://pronto.by/catalog/product/305-281.html")</f>
        <v>https://pronto.by/catalog/product/305-281.html</v>
      </c>
    </row>
    <row r="1044" spans="1:14" customFormat="1" ht="69">
      <c r="A1044" s="35" t="s">
        <v>2360</v>
      </c>
      <c r="B1044" s="19" t="s">
        <v>2361</v>
      </c>
      <c r="C1044" s="20" t="s">
        <v>2362</v>
      </c>
      <c r="D1044" s="36" t="s">
        <v>28</v>
      </c>
      <c r="E1044" s="37" t="s">
        <v>3273</v>
      </c>
      <c r="F1044" s="43">
        <v>115.02000000000001</v>
      </c>
      <c r="G1044" s="100">
        <f t="shared" si="16"/>
        <v>115.02</v>
      </c>
      <c r="H1044" s="101"/>
      <c r="I1044" s="100">
        <f>G1044*H1044</f>
        <v>0</v>
      </c>
      <c r="J1044" s="39" t="s">
        <v>3336</v>
      </c>
      <c r="K1044" s="40" t="s">
        <v>69</v>
      </c>
      <c r="L1044" s="41"/>
      <c r="M1044" s="42" t="str">
        <f>HYPERLINK("https://catalog.onliner.by/xmaslights/neonnight/305275", "https://catalog.onliner.by/xmaslights/neonnight/305275")</f>
        <v>https://catalog.onliner.by/xmaslights/neonnight/305275</v>
      </c>
      <c r="N1044" s="42" t="str">
        <f>HYPERLINK("https://pronto.by/catalog/product/305-275.html", "https://pronto.by/catalog/product/305-275.html")</f>
        <v>https://pronto.by/catalog/product/305-275.html</v>
      </c>
    </row>
    <row r="1045" spans="1:14" customFormat="1" ht="69">
      <c r="A1045" s="35" t="s">
        <v>2363</v>
      </c>
      <c r="B1045" s="19" t="s">
        <v>2364</v>
      </c>
      <c r="C1045" s="20" t="s">
        <v>2365</v>
      </c>
      <c r="D1045" s="36" t="s">
        <v>28</v>
      </c>
      <c r="E1045" s="37" t="s">
        <v>3273</v>
      </c>
      <c r="F1045" s="43">
        <v>103.5</v>
      </c>
      <c r="G1045" s="100">
        <f t="shared" si="16"/>
        <v>103.5</v>
      </c>
      <c r="H1045" s="101"/>
      <c r="I1045" s="100">
        <f>G1045*H1045</f>
        <v>0</v>
      </c>
      <c r="J1045" s="39" t="s">
        <v>3336</v>
      </c>
      <c r="K1045" s="40" t="s">
        <v>41</v>
      </c>
      <c r="L1045" s="41"/>
      <c r="M1045" s="42" t="str">
        <f>HYPERLINK("https://catalog.onliner.by/xmaslights/neonnight/305271", "https://catalog.onliner.by/xmaslights/neonnight/305271")</f>
        <v>https://catalog.onliner.by/xmaslights/neonnight/305271</v>
      </c>
      <c r="N1045" s="42" t="str">
        <f>HYPERLINK("https://pronto.by/catalog/product/305-271.html", "https://pronto.by/catalog/product/305-271.html")</f>
        <v>https://pronto.by/catalog/product/305-271.html</v>
      </c>
    </row>
    <row r="1046" spans="1:14" customFormat="1" ht="69">
      <c r="A1046" s="35" t="s">
        <v>2366</v>
      </c>
      <c r="B1046" s="19" t="s">
        <v>2367</v>
      </c>
      <c r="C1046" s="20" t="s">
        <v>2368</v>
      </c>
      <c r="D1046" s="36" t="s">
        <v>28</v>
      </c>
      <c r="E1046" s="37" t="s">
        <v>3280</v>
      </c>
      <c r="F1046" s="43">
        <v>115.02000000000001</v>
      </c>
      <c r="G1046" s="100">
        <f t="shared" si="16"/>
        <v>115.02</v>
      </c>
      <c r="H1046" s="101"/>
      <c r="I1046" s="100">
        <f>G1046*H1046</f>
        <v>0</v>
      </c>
      <c r="J1046" s="39" t="s">
        <v>3336</v>
      </c>
      <c r="K1046" s="40" t="s">
        <v>69</v>
      </c>
      <c r="L1046" s="41"/>
      <c r="M1046" s="42" t="str">
        <f>HYPERLINK("https://catalog.onliner.by/xmaslights/neonnight/305273", "https://catalog.onliner.by/xmaslights/neonnight/305273")</f>
        <v>https://catalog.onliner.by/xmaslights/neonnight/305273</v>
      </c>
      <c r="N1046" s="42" t="str">
        <f>HYPERLINK("https://pronto.by/catalog/product/305-273.html", "https://pronto.by/catalog/product/305-273.html")</f>
        <v>https://pronto.by/catalog/product/305-273.html</v>
      </c>
    </row>
    <row r="1047" spans="1:14" customFormat="1" ht="82.8">
      <c r="A1047" s="35" t="s">
        <v>2369</v>
      </c>
      <c r="B1047" s="19" t="s">
        <v>2370</v>
      </c>
      <c r="C1047" s="20" t="s">
        <v>2371</v>
      </c>
      <c r="D1047" s="36" t="s">
        <v>28</v>
      </c>
      <c r="E1047" s="37" t="s">
        <v>3275</v>
      </c>
      <c r="F1047" s="43">
        <v>115.02000000000001</v>
      </c>
      <c r="G1047" s="100">
        <f t="shared" si="16"/>
        <v>115.02</v>
      </c>
      <c r="H1047" s="101"/>
      <c r="I1047" s="100">
        <f>G1047*H1047</f>
        <v>0</v>
      </c>
      <c r="J1047" s="39" t="s">
        <v>3336</v>
      </c>
      <c r="K1047" s="40" t="s">
        <v>69</v>
      </c>
      <c r="L1047" s="41"/>
      <c r="M1047" s="42" t="str">
        <f>HYPERLINK("https://catalog.onliner.by/xmaslights/neonnight/305276", "https://catalog.onliner.by/xmaslights/neonnight/305276")</f>
        <v>https://catalog.onliner.by/xmaslights/neonnight/305276</v>
      </c>
      <c r="N1047" s="42" t="str">
        <f>HYPERLINK("https://pronto.by/catalog/product/305-276.html", "https://pronto.by/catalog/product/305-276.html")</f>
        <v>https://pronto.by/catalog/product/305-276.html</v>
      </c>
    </row>
    <row r="1048" spans="1:14" customFormat="1" ht="69">
      <c r="A1048" s="35" t="s">
        <v>2372</v>
      </c>
      <c r="B1048" s="19" t="s">
        <v>2373</v>
      </c>
      <c r="C1048" s="20" t="s">
        <v>2374</v>
      </c>
      <c r="D1048" s="36" t="s">
        <v>28</v>
      </c>
      <c r="E1048" s="37" t="s">
        <v>3273</v>
      </c>
      <c r="F1048" s="43">
        <v>115.02000000000001</v>
      </c>
      <c r="G1048" s="100">
        <f t="shared" si="16"/>
        <v>115.02</v>
      </c>
      <c r="H1048" s="101"/>
      <c r="I1048" s="100">
        <f>G1048*H1048</f>
        <v>0</v>
      </c>
      <c r="J1048" s="39" t="s">
        <v>3336</v>
      </c>
      <c r="K1048" s="40" t="s">
        <v>69</v>
      </c>
      <c r="L1048" s="41"/>
      <c r="M1048" s="42" t="str">
        <f>HYPERLINK("https://catalog.onliner.by/xmaslights/neonnight/305265", "https://catalog.onliner.by/xmaslights/neonnight/305265")</f>
        <v>https://catalog.onliner.by/xmaslights/neonnight/305265</v>
      </c>
      <c r="N1048" s="42" t="str">
        <f>HYPERLINK("https://pronto.by/catalog/product/305-265.html", "https://pronto.by/catalog/product/305-265.html")</f>
        <v>https://pronto.by/catalog/product/305-265.html</v>
      </c>
    </row>
    <row r="1049" spans="1:14" customFormat="1" ht="82.8">
      <c r="A1049" s="35" t="s">
        <v>2375</v>
      </c>
      <c r="B1049" s="19" t="s">
        <v>2376</v>
      </c>
      <c r="C1049" s="20" t="s">
        <v>2377</v>
      </c>
      <c r="D1049" s="36" t="s">
        <v>28</v>
      </c>
      <c r="E1049" s="37" t="s">
        <v>3281</v>
      </c>
      <c r="F1049" s="43">
        <v>139.97999999999999</v>
      </c>
      <c r="G1049" s="100">
        <f t="shared" si="16"/>
        <v>139.97999999999999</v>
      </c>
      <c r="H1049" s="101"/>
      <c r="I1049" s="100">
        <f>G1049*H1049</f>
        <v>0</v>
      </c>
      <c r="J1049" s="39" t="s">
        <v>3336</v>
      </c>
      <c r="K1049" s="40" t="s">
        <v>69</v>
      </c>
      <c r="L1049" s="41"/>
      <c r="M1049" s="42" t="str">
        <f>HYPERLINK("https://catalog.onliner.by/xmaslights/neonnight/305235", "https://catalog.onliner.by/xmaslights/neonnight/305235")</f>
        <v>https://catalog.onliner.by/xmaslights/neonnight/305235</v>
      </c>
      <c r="N1049" s="42" t="str">
        <f>HYPERLINK("https://pronto.by/catalog/product/305-235.html", "https://pronto.by/catalog/product/305-235.html")</f>
        <v>https://pronto.by/catalog/product/305-235.html</v>
      </c>
    </row>
    <row r="1050" spans="1:14" customFormat="1" ht="69">
      <c r="A1050" s="35" t="s">
        <v>2378</v>
      </c>
      <c r="B1050" s="19" t="s">
        <v>2379</v>
      </c>
      <c r="C1050" s="20" t="s">
        <v>2380</v>
      </c>
      <c r="D1050" s="36" t="s">
        <v>28</v>
      </c>
      <c r="E1050" s="37" t="s">
        <v>3273</v>
      </c>
      <c r="F1050" s="43">
        <v>103.5</v>
      </c>
      <c r="G1050" s="100">
        <f t="shared" si="16"/>
        <v>103.5</v>
      </c>
      <c r="H1050" s="101"/>
      <c r="I1050" s="100">
        <f>G1050*H1050</f>
        <v>0</v>
      </c>
      <c r="J1050" s="39" t="s">
        <v>3336</v>
      </c>
      <c r="K1050" s="40" t="s">
        <v>41</v>
      </c>
      <c r="L1050" s="41"/>
      <c r="M1050" s="42" t="str">
        <f>HYPERLINK("https://catalog.onliner.by/xmaslights/neonnight/305262", "https://catalog.onliner.by/xmaslights/neonnight/305262")</f>
        <v>https://catalog.onliner.by/xmaslights/neonnight/305262</v>
      </c>
      <c r="N1050" s="42" t="str">
        <f>HYPERLINK("https://pronto.by/catalog/product/305-262.html", "https://pronto.by/catalog/product/305-262.html")</f>
        <v>https://pronto.by/catalog/product/305-262.html</v>
      </c>
    </row>
    <row r="1051" spans="1:14" customFormat="1" ht="69">
      <c r="A1051" s="35" t="s">
        <v>2381</v>
      </c>
      <c r="B1051" s="19" t="s">
        <v>2382</v>
      </c>
      <c r="C1051" s="20" t="s">
        <v>2383</v>
      </c>
      <c r="D1051" s="36" t="s">
        <v>28</v>
      </c>
      <c r="E1051" s="37" t="s">
        <v>3272</v>
      </c>
      <c r="F1051" s="43">
        <v>115.02000000000001</v>
      </c>
      <c r="G1051" s="100">
        <f t="shared" si="16"/>
        <v>115.02</v>
      </c>
      <c r="H1051" s="101"/>
      <c r="I1051" s="100">
        <f>G1051*H1051</f>
        <v>0</v>
      </c>
      <c r="J1051" s="39" t="s">
        <v>3336</v>
      </c>
      <c r="K1051" s="40" t="s">
        <v>69</v>
      </c>
      <c r="L1051" s="41"/>
      <c r="M1051" s="42" t="str">
        <f>HYPERLINK("https://catalog.onliner.by/xmaslights/neonnight/305263", "https://catalog.onliner.by/xmaslights/neonnight/305263")</f>
        <v>https://catalog.onliner.by/xmaslights/neonnight/305263</v>
      </c>
      <c r="N1051" s="42" t="str">
        <f>HYPERLINK("https://pronto.by/catalog/product/305-263.html", "https://pronto.by/catalog/product/305-263.html")</f>
        <v>https://pronto.by/catalog/product/305-263.html</v>
      </c>
    </row>
    <row r="1052" spans="1:14" customFormat="1" ht="82.8">
      <c r="A1052" s="35" t="s">
        <v>2384</v>
      </c>
      <c r="B1052" s="19" t="s">
        <v>2385</v>
      </c>
      <c r="C1052" s="20" t="s">
        <v>2386</v>
      </c>
      <c r="D1052" s="36" t="s">
        <v>28</v>
      </c>
      <c r="E1052" s="37" t="s">
        <v>3272</v>
      </c>
      <c r="F1052" s="43">
        <v>113.34</v>
      </c>
      <c r="G1052" s="100">
        <f t="shared" si="16"/>
        <v>113.34</v>
      </c>
      <c r="H1052" s="101"/>
      <c r="I1052" s="100">
        <f>G1052*H1052</f>
        <v>0</v>
      </c>
      <c r="J1052" s="39" t="s">
        <v>3336</v>
      </c>
      <c r="K1052" s="40" t="s">
        <v>41</v>
      </c>
      <c r="L1052" s="41"/>
      <c r="M1052" s="42" t="str">
        <f>HYPERLINK("https://catalog.onliner.by/xmaslights/neonnight/305233", "https://catalog.onliner.by/xmaslights/neonnight/305233")</f>
        <v>https://catalog.onliner.by/xmaslights/neonnight/305233</v>
      </c>
      <c r="N1052" s="42" t="str">
        <f>HYPERLINK("https://pronto.by/catalog/product/305-233.html", "https://pronto.by/catalog/product/305-233.html")</f>
        <v>https://pronto.by/catalog/product/305-233.html</v>
      </c>
    </row>
    <row r="1053" spans="1:14" customFormat="1" ht="96.6">
      <c r="A1053" s="35" t="s">
        <v>2387</v>
      </c>
      <c r="B1053" s="19" t="s">
        <v>2388</v>
      </c>
      <c r="C1053" s="20" t="s">
        <v>4032</v>
      </c>
      <c r="D1053" s="36" t="s">
        <v>28</v>
      </c>
      <c r="E1053" s="37" t="s">
        <v>3281</v>
      </c>
      <c r="F1053" s="43">
        <v>139.97999999999999</v>
      </c>
      <c r="G1053" s="100">
        <f t="shared" si="16"/>
        <v>139.97999999999999</v>
      </c>
      <c r="H1053" s="101"/>
      <c r="I1053" s="100">
        <f>G1053*H1053</f>
        <v>0</v>
      </c>
      <c r="J1053" s="39" t="s">
        <v>3336</v>
      </c>
      <c r="K1053" s="40" t="s">
        <v>41</v>
      </c>
      <c r="L1053" s="41"/>
      <c r="M1053" s="42" t="str">
        <f>HYPERLINK("https://catalog.onliner.by/xmaslights/neonnight/305236", "https://catalog.onliner.by/xmaslights/neonnight/305236")</f>
        <v>https://catalog.onliner.by/xmaslights/neonnight/305236</v>
      </c>
      <c r="N1053" s="42" t="str">
        <f>HYPERLINK("https://pronto.by/catalog/product/305-236.html", "https://pronto.by/catalog/product/305-236.html")</f>
        <v>https://pronto.by/catalog/product/305-236.html</v>
      </c>
    </row>
    <row r="1054" spans="1:14" customFormat="1" ht="69">
      <c r="A1054" s="35" t="s">
        <v>2389</v>
      </c>
      <c r="B1054" s="19" t="s">
        <v>2390</v>
      </c>
      <c r="C1054" s="20" t="s">
        <v>2391</v>
      </c>
      <c r="D1054" s="36" t="s">
        <v>28</v>
      </c>
      <c r="E1054" s="37" t="s">
        <v>3275</v>
      </c>
      <c r="F1054" s="43">
        <v>115.02000000000001</v>
      </c>
      <c r="G1054" s="100">
        <f t="shared" si="16"/>
        <v>115.02</v>
      </c>
      <c r="H1054" s="101"/>
      <c r="I1054" s="100">
        <f>G1054*H1054</f>
        <v>0</v>
      </c>
      <c r="J1054" s="39" t="s">
        <v>3336</v>
      </c>
      <c r="K1054" s="40" t="s">
        <v>69</v>
      </c>
      <c r="L1054" s="41"/>
      <c r="M1054" s="42" t="str">
        <f>HYPERLINK("https://catalog.onliner.by/xmaslights/neonnight/305285", "https://catalog.onliner.by/xmaslights/neonnight/305285")</f>
        <v>https://catalog.onliner.by/xmaslights/neonnight/305285</v>
      </c>
      <c r="N1054" s="42" t="str">
        <f>HYPERLINK("https://pronto.by/catalog/product/305-285.html", "https://pronto.by/catalog/product/305-285.html")</f>
        <v>https://pronto.by/catalog/product/305-285.html</v>
      </c>
    </row>
    <row r="1055" spans="1:14" customFormat="1" ht="82.8">
      <c r="A1055" s="35" t="s">
        <v>2392</v>
      </c>
      <c r="B1055" s="19" t="s">
        <v>2393</v>
      </c>
      <c r="C1055" s="20" t="s">
        <v>2394</v>
      </c>
      <c r="D1055" s="36" t="s">
        <v>28</v>
      </c>
      <c r="E1055" s="37" t="s">
        <v>3281</v>
      </c>
      <c r="F1055" s="43">
        <v>139.97999999999999</v>
      </c>
      <c r="G1055" s="100">
        <f t="shared" si="16"/>
        <v>139.97999999999999</v>
      </c>
      <c r="H1055" s="101"/>
      <c r="I1055" s="100">
        <f>G1055*H1055</f>
        <v>0</v>
      </c>
      <c r="J1055" s="39" t="s">
        <v>3336</v>
      </c>
      <c r="K1055" s="40" t="s">
        <v>69</v>
      </c>
      <c r="L1055" s="41"/>
      <c r="M1055" s="42" t="str">
        <f>HYPERLINK("https://catalog.onliner.by/xmaslights/neonnight/305255", "https://catalog.onliner.by/xmaslights/neonnight/305255")</f>
        <v>https://catalog.onliner.by/xmaslights/neonnight/305255</v>
      </c>
      <c r="N1055" s="42" t="str">
        <f>HYPERLINK("https://pronto.by/catalog/product/305-255.html", "https://pronto.by/catalog/product/305-255.html")</f>
        <v>https://pronto.by/catalog/product/305-255.html</v>
      </c>
    </row>
    <row r="1056" spans="1:14" customFormat="1" ht="96.6">
      <c r="A1056" s="35" t="s">
        <v>2395</v>
      </c>
      <c r="B1056" s="19" t="s">
        <v>2396</v>
      </c>
      <c r="C1056" s="20" t="s">
        <v>2397</v>
      </c>
      <c r="D1056" s="36" t="s">
        <v>28</v>
      </c>
      <c r="E1056" s="37" t="s">
        <v>3273</v>
      </c>
      <c r="F1056" s="43">
        <v>139.97999999999999</v>
      </c>
      <c r="G1056" s="100">
        <f t="shared" si="16"/>
        <v>139.97999999999999</v>
      </c>
      <c r="H1056" s="101"/>
      <c r="I1056" s="100">
        <f>G1056*H1056</f>
        <v>0</v>
      </c>
      <c r="J1056" s="39" t="s">
        <v>3336</v>
      </c>
      <c r="K1056" s="40" t="s">
        <v>69</v>
      </c>
      <c r="L1056" s="41"/>
      <c r="M1056" s="42" t="str">
        <f>HYPERLINK("https://catalog.onliner.by/xmaslights/neonnight/305251", "https://catalog.onliner.by/xmaslights/neonnight/305251")</f>
        <v>https://catalog.onliner.by/xmaslights/neonnight/305251</v>
      </c>
      <c r="N1056" s="42" t="str">
        <f>HYPERLINK("https://pronto.by/catalog/product/305-251.html", "https://pronto.by/catalog/product/305-251.html")</f>
        <v>https://pronto.by/catalog/product/305-251.html</v>
      </c>
    </row>
    <row r="1057" spans="1:14" customFormat="1" ht="82.8">
      <c r="A1057" s="35" t="s">
        <v>2398</v>
      </c>
      <c r="B1057" s="19" t="s">
        <v>2399</v>
      </c>
      <c r="C1057" s="20" t="s">
        <v>2400</v>
      </c>
      <c r="D1057" s="36" t="s">
        <v>28</v>
      </c>
      <c r="E1057" s="37" t="s">
        <v>3273</v>
      </c>
      <c r="F1057" s="43">
        <v>115.02000000000001</v>
      </c>
      <c r="G1057" s="100">
        <f t="shared" si="16"/>
        <v>115.02</v>
      </c>
      <c r="H1057" s="101"/>
      <c r="I1057" s="100">
        <f>G1057*H1057</f>
        <v>0</v>
      </c>
      <c r="J1057" s="39" t="s">
        <v>3336</v>
      </c>
      <c r="K1057" s="40" t="s">
        <v>69</v>
      </c>
      <c r="L1057" s="41"/>
      <c r="M1057" s="42" t="str">
        <f>HYPERLINK("https://catalog.onliner.by/xmaslights/neonnight/305284", "https://catalog.onliner.by/xmaslights/neonnight/305284")</f>
        <v>https://catalog.onliner.by/xmaslights/neonnight/305284</v>
      </c>
      <c r="N1057" s="42" t="str">
        <f>HYPERLINK("https://pronto.by/catalog/product/305-284.html", "https://pronto.by/catalog/product/305-284.html")</f>
        <v>https://pronto.by/catalog/product/305-284.html</v>
      </c>
    </row>
    <row r="1058" spans="1:14" customFormat="1" ht="96.6">
      <c r="A1058" s="35" t="s">
        <v>2401</v>
      </c>
      <c r="B1058" s="19" t="s">
        <v>2402</v>
      </c>
      <c r="C1058" s="20" t="s">
        <v>2403</v>
      </c>
      <c r="D1058" s="36" t="s">
        <v>28</v>
      </c>
      <c r="E1058" s="37" t="s">
        <v>3280</v>
      </c>
      <c r="F1058" s="43">
        <v>125.94</v>
      </c>
      <c r="G1058" s="100">
        <f t="shared" si="16"/>
        <v>125.94</v>
      </c>
      <c r="H1058" s="101"/>
      <c r="I1058" s="100">
        <f>G1058*H1058</f>
        <v>0</v>
      </c>
      <c r="J1058" s="39" t="s">
        <v>3336</v>
      </c>
      <c r="K1058" s="40" t="s">
        <v>69</v>
      </c>
      <c r="L1058" s="41"/>
      <c r="M1058" s="42" t="s">
        <v>4033</v>
      </c>
      <c r="N1058" s="83" t="s">
        <v>4034</v>
      </c>
    </row>
    <row r="1059" spans="1:14" customFormat="1" ht="82.8">
      <c r="A1059" s="35" t="s">
        <v>2404</v>
      </c>
      <c r="B1059" s="19" t="s">
        <v>2405</v>
      </c>
      <c r="C1059" s="20" t="s">
        <v>2406</v>
      </c>
      <c r="D1059" s="36" t="s">
        <v>28</v>
      </c>
      <c r="E1059" s="37" t="s">
        <v>3275</v>
      </c>
      <c r="F1059" s="43">
        <v>115.02000000000001</v>
      </c>
      <c r="G1059" s="100">
        <f t="shared" si="16"/>
        <v>115.02</v>
      </c>
      <c r="H1059" s="101"/>
      <c r="I1059" s="100">
        <f>G1059*H1059</f>
        <v>0</v>
      </c>
      <c r="J1059" s="39" t="s">
        <v>3336</v>
      </c>
      <c r="K1059" s="40" t="s">
        <v>69</v>
      </c>
      <c r="L1059" s="41"/>
      <c r="M1059" s="42" t="str">
        <f>HYPERLINK("https://catalog.onliner.by/xmaslights/neonnight/305282", "https://catalog.onliner.by/xmaslights/neonnight/305282")</f>
        <v>https://catalog.onliner.by/xmaslights/neonnight/305282</v>
      </c>
      <c r="N1059" s="42" t="str">
        <f>HYPERLINK("https://pronto.by/catalog/product/305-282.html", "https://pronto.by/catalog/product/305-282.html")</f>
        <v>https://pronto.by/catalog/product/305-282.html</v>
      </c>
    </row>
    <row r="1060" spans="1:14" customFormat="1" ht="96.6">
      <c r="A1060" s="35" t="s">
        <v>4035</v>
      </c>
      <c r="B1060" s="19" t="s">
        <v>4036</v>
      </c>
      <c r="C1060" s="20" t="s">
        <v>4037</v>
      </c>
      <c r="D1060" s="36" t="s">
        <v>28</v>
      </c>
      <c r="E1060" s="37" t="s">
        <v>3273</v>
      </c>
      <c r="F1060" s="43">
        <v>139.97999999999999</v>
      </c>
      <c r="G1060" s="100">
        <f t="shared" si="16"/>
        <v>139.97999999999999</v>
      </c>
      <c r="H1060" s="101"/>
      <c r="I1060" s="100">
        <f>G1060*H1060</f>
        <v>0</v>
      </c>
      <c r="J1060" s="39" t="s">
        <v>3336</v>
      </c>
      <c r="K1060" s="40" t="s">
        <v>69</v>
      </c>
      <c r="L1060" s="41"/>
      <c r="M1060" s="42" t="str">
        <f>HYPERLINK("https://catalog.onliner.by/xmaslights/neonnight/305252", "https://catalog.onliner.by/xmaslights/neonnight/305252")</f>
        <v>https://catalog.onliner.by/xmaslights/neonnight/305252</v>
      </c>
      <c r="N1060" s="42" t="str">
        <f>HYPERLINK("https://pronto.by/catalog/product/305-252.html", "https://pronto.by/catalog/product/305-252.html")</f>
        <v>https://pronto.by/catalog/product/305-252.html</v>
      </c>
    </row>
    <row r="1061" spans="1:14" customFormat="1" ht="82.8">
      <c r="A1061" s="35" t="s">
        <v>2407</v>
      </c>
      <c r="B1061" s="19" t="s">
        <v>2408</v>
      </c>
      <c r="C1061" s="20" t="s">
        <v>2409</v>
      </c>
      <c r="D1061" s="36" t="s">
        <v>28</v>
      </c>
      <c r="E1061" s="37" t="s">
        <v>3273</v>
      </c>
      <c r="F1061" s="43">
        <v>115.02000000000001</v>
      </c>
      <c r="G1061" s="100">
        <f t="shared" si="16"/>
        <v>115.02</v>
      </c>
      <c r="H1061" s="101"/>
      <c r="I1061" s="100">
        <f>G1061*H1061</f>
        <v>0</v>
      </c>
      <c r="J1061" s="39" t="s">
        <v>3336</v>
      </c>
      <c r="K1061" s="40" t="s">
        <v>41</v>
      </c>
      <c r="L1061" s="41"/>
      <c r="M1061" s="42" t="str">
        <f>HYPERLINK("https://catalog.onliner.by/xmaslights/neonnight/305283", "https://catalog.onliner.by/xmaslights/neonnight/305283")</f>
        <v>https://catalog.onliner.by/xmaslights/neonnight/305283</v>
      </c>
      <c r="N1061" s="42" t="str">
        <f>HYPERLINK("https://pronto.by/catalog/product/305-283.html", "https://pronto.by/catalog/product/305-283.html")</f>
        <v>https://pronto.by/catalog/product/305-283.html</v>
      </c>
    </row>
    <row r="1062" spans="1:14" customFormat="1" ht="96.6">
      <c r="A1062" s="35" t="s">
        <v>2410</v>
      </c>
      <c r="B1062" s="19" t="s">
        <v>2411</v>
      </c>
      <c r="C1062" s="20" t="s">
        <v>2412</v>
      </c>
      <c r="D1062" s="36" t="s">
        <v>28</v>
      </c>
      <c r="E1062" s="37" t="s">
        <v>3272</v>
      </c>
      <c r="F1062" s="43">
        <v>139.97999999999999</v>
      </c>
      <c r="G1062" s="100">
        <f t="shared" si="16"/>
        <v>139.97999999999999</v>
      </c>
      <c r="H1062" s="101"/>
      <c r="I1062" s="100">
        <f>G1062*H1062</f>
        <v>0</v>
      </c>
      <c r="J1062" s="39" t="s">
        <v>3336</v>
      </c>
      <c r="K1062" s="40" t="s">
        <v>69</v>
      </c>
      <c r="L1062" s="41"/>
      <c r="M1062" s="42" t="str">
        <f>HYPERLINK("https://catalog.onliner.by/xmaslights/neonnight/305253", "https://catalog.onliner.by/xmaslights/neonnight/305253")</f>
        <v>https://catalog.onliner.by/xmaslights/neonnight/305253</v>
      </c>
      <c r="N1062" s="42" t="str">
        <f>HYPERLINK("https://pronto.by/catalog/product/305-253.html", "https://pronto.by/catalog/product/305-253.html")</f>
        <v>https://pronto.by/catalog/product/305-253.html</v>
      </c>
    </row>
    <row r="1063" spans="1:14" customFormat="1" ht="82.8">
      <c r="A1063" s="35" t="s">
        <v>2413</v>
      </c>
      <c r="B1063" s="19" t="s">
        <v>2414</v>
      </c>
      <c r="C1063" s="20" t="s">
        <v>2415</v>
      </c>
      <c r="D1063" s="36" t="s">
        <v>28</v>
      </c>
      <c r="E1063" s="37" t="s">
        <v>3273</v>
      </c>
      <c r="F1063" s="43">
        <v>115.02000000000001</v>
      </c>
      <c r="G1063" s="100">
        <f t="shared" si="16"/>
        <v>115.02</v>
      </c>
      <c r="H1063" s="101"/>
      <c r="I1063" s="100">
        <f>G1063*H1063</f>
        <v>0</v>
      </c>
      <c r="J1063" s="39" t="s">
        <v>3336</v>
      </c>
      <c r="K1063" s="40" t="s">
        <v>69</v>
      </c>
      <c r="L1063" s="41"/>
      <c r="M1063" s="42" t="str">
        <f>HYPERLINK("https://catalog.onliner.by/xmaslights/neonnight/305286", "https://catalog.onliner.by/xmaslights/neonnight/305286")</f>
        <v>https://catalog.onliner.by/xmaslights/neonnight/305286</v>
      </c>
      <c r="N1063" s="42" t="str">
        <f>HYPERLINK("https://pronto.by/catalog/product/305-286.html", "https://pronto.by/catalog/product/305-286.html")</f>
        <v>https://pronto.by/catalog/product/305-286.html</v>
      </c>
    </row>
    <row r="1064" spans="1:14" customFormat="1" ht="82.8">
      <c r="A1064" s="35" t="s">
        <v>2416</v>
      </c>
      <c r="B1064" s="19" t="s">
        <v>2417</v>
      </c>
      <c r="C1064" s="20" t="s">
        <v>2418</v>
      </c>
      <c r="D1064" s="36" t="s">
        <v>28</v>
      </c>
      <c r="E1064" s="37" t="s">
        <v>3273</v>
      </c>
      <c r="F1064" s="43">
        <v>131.22</v>
      </c>
      <c r="G1064" s="100">
        <f t="shared" si="16"/>
        <v>131.22</v>
      </c>
      <c r="H1064" s="101"/>
      <c r="I1064" s="100">
        <f>G1064*H1064</f>
        <v>0</v>
      </c>
      <c r="J1064" s="39" t="s">
        <v>3336</v>
      </c>
      <c r="K1064" s="40" t="s">
        <v>69</v>
      </c>
      <c r="L1064" s="41"/>
      <c r="M1064" s="42" t="str">
        <f>HYPERLINK("https://catalog.onliner.by/xmaslights/neonnight/305256", "https://catalog.onliner.by/xmaslights/neonnight/305256")</f>
        <v>https://catalog.onliner.by/xmaslights/neonnight/305256</v>
      </c>
      <c r="N1064" s="42" t="str">
        <f>HYPERLINK("https://pronto.by/catalog/product/305-256.html", "https://pronto.by/catalog/product/305-256.html")</f>
        <v>https://pronto.by/catalog/product/305-256.html</v>
      </c>
    </row>
    <row r="1065" spans="1:14" customFormat="1" ht="69">
      <c r="A1065" s="35" t="s">
        <v>2419</v>
      </c>
      <c r="B1065" s="19" t="s">
        <v>2420</v>
      </c>
      <c r="C1065" s="20" t="s">
        <v>2421</v>
      </c>
      <c r="D1065" s="36" t="s">
        <v>28</v>
      </c>
      <c r="E1065" s="37" t="s">
        <v>3282</v>
      </c>
      <c r="F1065" s="43">
        <v>193.14000000000001</v>
      </c>
      <c r="G1065" s="100">
        <f t="shared" si="16"/>
        <v>193.14</v>
      </c>
      <c r="H1065" s="101"/>
      <c r="I1065" s="100">
        <f>G1065*H1065</f>
        <v>0</v>
      </c>
      <c r="J1065" s="39" t="s">
        <v>3336</v>
      </c>
      <c r="K1065" s="40" t="s">
        <v>69</v>
      </c>
      <c r="L1065" s="41"/>
      <c r="M1065" s="42" t="str">
        <f>HYPERLINK("https://catalog.onliner.by/xmaslights/neonnight/nn305295", "https://catalog.onliner.by/xmaslights/neonnight/nn305295")</f>
        <v>https://catalog.onliner.by/xmaslights/neonnight/nn305295</v>
      </c>
      <c r="N1065" s="42" t="str">
        <f>HYPERLINK("https://pronto.by/catalog/product/305-295.html", "https://pronto.by/catalog/product/305-295.html")</f>
        <v>https://pronto.by/catalog/product/305-295.html</v>
      </c>
    </row>
    <row r="1066" spans="1:14" customFormat="1" ht="82.8">
      <c r="A1066" s="35" t="s">
        <v>2422</v>
      </c>
      <c r="B1066" s="19" t="s">
        <v>2423</v>
      </c>
      <c r="C1066" s="20" t="s">
        <v>2424</v>
      </c>
      <c r="D1066" s="36" t="s">
        <v>28</v>
      </c>
      <c r="E1066" s="37" t="s">
        <v>3283</v>
      </c>
      <c r="F1066" s="43">
        <v>193.14000000000001</v>
      </c>
      <c r="G1066" s="100">
        <f t="shared" si="16"/>
        <v>193.14</v>
      </c>
      <c r="H1066" s="101"/>
      <c r="I1066" s="100">
        <f>G1066*H1066</f>
        <v>0</v>
      </c>
      <c r="J1066" s="39" t="s">
        <v>3336</v>
      </c>
      <c r="K1066" s="40" t="s">
        <v>69</v>
      </c>
      <c r="L1066" s="41"/>
      <c r="M1066" s="42" t="str">
        <f>HYPERLINK("https://catalog.onliner.by/xmaslights/neonnight/nn305296", "https://catalog.onliner.by/xmaslights/neonnight/nn305296")</f>
        <v>https://catalog.onliner.by/xmaslights/neonnight/nn305296</v>
      </c>
      <c r="N1066" s="42" t="str">
        <f>HYPERLINK("https://pronto.by/catalog/product/305-296.html", "https://pronto.by/catalog/product/305-296.html")</f>
        <v>https://pronto.by/catalog/product/305-296.html</v>
      </c>
    </row>
    <row r="1067" spans="1:14" customFormat="1" ht="110.4">
      <c r="A1067" s="45" t="s">
        <v>4038</v>
      </c>
      <c r="B1067" s="46" t="s">
        <v>4039</v>
      </c>
      <c r="C1067" s="54" t="s">
        <v>4040</v>
      </c>
      <c r="D1067" s="47" t="s">
        <v>28</v>
      </c>
      <c r="E1067" s="48" t="s">
        <v>3308</v>
      </c>
      <c r="F1067" s="43">
        <v>193.14000000000001</v>
      </c>
      <c r="G1067" s="100">
        <f t="shared" si="16"/>
        <v>193.14</v>
      </c>
      <c r="H1067" s="101"/>
      <c r="I1067" s="100">
        <f>G1067*H1067</f>
        <v>0</v>
      </c>
      <c r="J1067" s="39" t="s">
        <v>3336</v>
      </c>
      <c r="K1067" s="40" t="s">
        <v>69</v>
      </c>
      <c r="L1067" s="41"/>
      <c r="M1067" s="42" t="s">
        <v>4041</v>
      </c>
      <c r="N1067" s="42" t="str">
        <f>HYPERLINK("https://pronto.by/catalog/prazdnichnaya-svetotehnika/professional-professionalnye-proekty/girlyanda-nit/nit-pvh/305-386.html", "https://pronto.by/catalog/prazdnichnaya-svetotehnika/professional-professionalnye-proekty/girlyanda-nit/nit-pvh/305-386.html")</f>
        <v>https://pronto.by/catalog/prazdnichnaya-svetotehnika/professional-professionalnye-proekty/girlyanda-nit/nit-pvh/305-386.html</v>
      </c>
    </row>
    <row r="1068" spans="1:14" customFormat="1" ht="96.6">
      <c r="A1068" s="45" t="s">
        <v>2425</v>
      </c>
      <c r="B1068" s="46" t="s">
        <v>2426</v>
      </c>
      <c r="C1068" s="54" t="s">
        <v>4042</v>
      </c>
      <c r="D1068" s="47" t="s">
        <v>28</v>
      </c>
      <c r="E1068" s="48" t="s">
        <v>3272</v>
      </c>
      <c r="F1068" s="43">
        <v>220.44000000000003</v>
      </c>
      <c r="G1068" s="100">
        <f t="shared" si="16"/>
        <v>220.44</v>
      </c>
      <c r="H1068" s="101"/>
      <c r="I1068" s="100">
        <f>G1068*H1068</f>
        <v>0</v>
      </c>
      <c r="J1068" s="39" t="s">
        <v>3336</v>
      </c>
      <c r="K1068" s="40" t="s">
        <v>69</v>
      </c>
      <c r="L1068" s="41"/>
      <c r="M1068" s="42" t="s">
        <v>4043</v>
      </c>
      <c r="N1068" s="42" t="str">
        <f>HYPERLINK("https://pronto.by/catalog/prazdnichnaya-svetotehnika/professional-professionalnye-proekty/girlyanda-nit/nit-pvh/305-395.html", "https://pronto.by/catalog/prazdnichnaya-svetotehnika/professional-professionalnye-proekty/girlyanda-nit/nit-pvh/305-395.html")</f>
        <v>https://pronto.by/catalog/prazdnichnaya-svetotehnika/professional-professionalnye-proekty/girlyanda-nit/nit-pvh/305-395.html</v>
      </c>
    </row>
    <row r="1069" spans="1:14" customFormat="1" ht="96.6">
      <c r="A1069" s="45" t="s">
        <v>2427</v>
      </c>
      <c r="B1069" s="46" t="s">
        <v>2428</v>
      </c>
      <c r="C1069" s="54" t="s">
        <v>4044</v>
      </c>
      <c r="D1069" s="47" t="s">
        <v>28</v>
      </c>
      <c r="E1069" s="48" t="s">
        <v>3308</v>
      </c>
      <c r="F1069" s="43">
        <v>220.44000000000003</v>
      </c>
      <c r="G1069" s="100">
        <f t="shared" si="16"/>
        <v>220.44</v>
      </c>
      <c r="H1069" s="101"/>
      <c r="I1069" s="100">
        <f>G1069*H1069</f>
        <v>0</v>
      </c>
      <c r="J1069" s="39" t="s">
        <v>3336</v>
      </c>
      <c r="K1069" s="40" t="s">
        <v>69</v>
      </c>
      <c r="L1069" s="41"/>
      <c r="M1069" s="42" t="s">
        <v>4045</v>
      </c>
      <c r="N1069" s="42" t="str">
        <f>HYPERLINK("https://pronto.by/catalog/prazdnichnaya-svetotehnika/professional-professionalnye-proekty/girlyanda-nit/nit-pvh/305-396.html", "https://pronto.by/catalog/prazdnichnaya-svetotehnika/professional-professionalnye-proekty/girlyanda-nit/nit-pvh/305-396.html")</f>
        <v>https://pronto.by/catalog/prazdnichnaya-svetotehnika/professional-professionalnye-proekty/girlyanda-nit/nit-pvh/305-396.html</v>
      </c>
    </row>
    <row r="1070" spans="1:14" customFormat="1" ht="82.8">
      <c r="A1070" s="35" t="s">
        <v>2429</v>
      </c>
      <c r="B1070" s="19" t="s">
        <v>2430</v>
      </c>
      <c r="C1070" s="20" t="s">
        <v>2431</v>
      </c>
      <c r="D1070" s="36" t="s">
        <v>28</v>
      </c>
      <c r="E1070" s="37" t="s">
        <v>3273</v>
      </c>
      <c r="F1070" s="43">
        <v>139.97999999999999</v>
      </c>
      <c r="G1070" s="100">
        <f t="shared" si="16"/>
        <v>139.97999999999999</v>
      </c>
      <c r="H1070" s="101"/>
      <c r="I1070" s="100">
        <f>G1070*H1070</f>
        <v>0</v>
      </c>
      <c r="J1070" s="39" t="s">
        <v>3336</v>
      </c>
      <c r="K1070" s="40" t="s">
        <v>41</v>
      </c>
      <c r="L1070" s="41"/>
      <c r="M1070" s="42" t="str">
        <f>HYPERLINK("https://catalog.onliner.by/xmaslights/neonnight/305245", "https://catalog.onliner.by/xmaslights/neonnight/305245")</f>
        <v>https://catalog.onliner.by/xmaslights/neonnight/305245</v>
      </c>
      <c r="N1070" s="42" t="str">
        <f>HYPERLINK("https://pronto.by/catalog/product/305-245.html", "https://pronto.by/catalog/product/305-245.html")</f>
        <v>https://pronto.by/catalog/product/305-245.html</v>
      </c>
    </row>
    <row r="1071" spans="1:14" customFormat="1" ht="82.8">
      <c r="A1071" s="35" t="s">
        <v>2432</v>
      </c>
      <c r="B1071" s="19" t="s">
        <v>2433</v>
      </c>
      <c r="C1071" s="20" t="s">
        <v>2434</v>
      </c>
      <c r="D1071" s="36" t="s">
        <v>28</v>
      </c>
      <c r="E1071" s="37" t="s">
        <v>3273</v>
      </c>
      <c r="F1071" s="43">
        <v>139.97999999999999</v>
      </c>
      <c r="G1071" s="100">
        <f t="shared" si="16"/>
        <v>139.97999999999999</v>
      </c>
      <c r="H1071" s="101"/>
      <c r="I1071" s="100">
        <f>G1071*H1071</f>
        <v>0</v>
      </c>
      <c r="J1071" s="39" t="s">
        <v>3336</v>
      </c>
      <c r="K1071" s="40" t="s">
        <v>41</v>
      </c>
      <c r="L1071" s="41"/>
      <c r="M1071" s="42" t="str">
        <f>HYPERLINK("https://catalog.onliner.by/xmaslights/neonnight/305241", "https://catalog.onliner.by/xmaslights/neonnight/305241")</f>
        <v>https://catalog.onliner.by/xmaslights/neonnight/305241</v>
      </c>
      <c r="N1071" s="42" t="str">
        <f>HYPERLINK("https://pronto.by/catalog/product/305-241.html", "https://pronto.by/catalog/product/305-241.html")</f>
        <v>https://pronto.by/catalog/product/305-241.html</v>
      </c>
    </row>
    <row r="1072" spans="1:14" customFormat="1" ht="96.6">
      <c r="A1072" s="35" t="s">
        <v>2435</v>
      </c>
      <c r="B1072" s="19" t="s">
        <v>2436</v>
      </c>
      <c r="C1072" s="20" t="s">
        <v>2437</v>
      </c>
      <c r="D1072" s="36" t="s">
        <v>28</v>
      </c>
      <c r="E1072" s="37" t="s">
        <v>3273</v>
      </c>
      <c r="F1072" s="43">
        <v>139.97999999999999</v>
      </c>
      <c r="G1072" s="100">
        <f t="shared" si="16"/>
        <v>139.97999999999999</v>
      </c>
      <c r="H1072" s="101"/>
      <c r="I1072" s="100">
        <f>G1072*H1072</f>
        <v>0</v>
      </c>
      <c r="J1072" s="39" t="s">
        <v>3336</v>
      </c>
      <c r="K1072" s="40" t="s">
        <v>69</v>
      </c>
      <c r="L1072" s="41"/>
      <c r="M1072" s="42" t="str">
        <f>HYPERLINK("https://catalog.onliner.by/xmaslights/neonnight/305246", "https://catalog.onliner.by/xmaslights/neonnight/305246")</f>
        <v>https://catalog.onliner.by/xmaslights/neonnight/305246</v>
      </c>
      <c r="N1072" s="42" t="str">
        <f>HYPERLINK("https://pronto.by/catalog/product/305-246.html", "https://pronto.by/catalog/product/305-246.html")</f>
        <v>https://pronto.by/catalog/product/305-246.html</v>
      </c>
    </row>
    <row r="1073" spans="1:14" customFormat="1" ht="15.6">
      <c r="A1073" s="81" t="s">
        <v>4046</v>
      </c>
      <c r="B1073" s="67"/>
      <c r="C1073" s="67"/>
      <c r="D1073" s="32"/>
      <c r="E1073" s="32"/>
      <c r="F1073" s="32"/>
      <c r="G1073" s="52"/>
      <c r="H1073" s="52"/>
      <c r="I1073" s="52"/>
      <c r="J1073" s="32"/>
      <c r="K1073" s="32"/>
      <c r="L1073" s="33"/>
      <c r="M1073" s="33"/>
      <c r="N1073" s="34"/>
    </row>
    <row r="1074" spans="1:14" customFormat="1" ht="55.2">
      <c r="A1074" s="35" t="s">
        <v>2438</v>
      </c>
      <c r="B1074" s="19" t="s">
        <v>2439</v>
      </c>
      <c r="C1074" s="20" t="s">
        <v>2440</v>
      </c>
      <c r="D1074" s="36" t="s">
        <v>28</v>
      </c>
      <c r="E1074" s="37" t="s">
        <v>3290</v>
      </c>
      <c r="F1074" s="43">
        <v>428.76</v>
      </c>
      <c r="G1074" s="100">
        <f t="shared" si="16"/>
        <v>428.76</v>
      </c>
      <c r="H1074" s="101"/>
      <c r="I1074" s="100">
        <f>G1074*H1074</f>
        <v>0</v>
      </c>
      <c r="J1074" s="39" t="s">
        <v>3664</v>
      </c>
      <c r="K1074" s="40" t="s">
        <v>41</v>
      </c>
      <c r="L1074" s="41"/>
      <c r="M1074" s="42" t="str">
        <f>HYPERLINK("https://catalog.onliner.by/xmaslights/neonnight/nn315165", "https://catalog.onliner.by/xmaslights/neonnight/nn315165")</f>
        <v>https://catalog.onliner.by/xmaslights/neonnight/nn315165</v>
      </c>
      <c r="N1074" s="42" t="str">
        <f>HYPERLINK("https://pronto.by/catalog/product/315-165.html", "https://pronto.by/catalog/product/315-165.html")</f>
        <v>https://pronto.by/catalog/product/315-165.html</v>
      </c>
    </row>
    <row r="1075" spans="1:14" customFormat="1" ht="69">
      <c r="A1075" s="35" t="s">
        <v>2441</v>
      </c>
      <c r="B1075" s="19" t="s">
        <v>2442</v>
      </c>
      <c r="C1075" s="20" t="s">
        <v>2443</v>
      </c>
      <c r="D1075" s="36" t="s">
        <v>28</v>
      </c>
      <c r="E1075" s="37" t="s">
        <v>3290</v>
      </c>
      <c r="F1075" s="43">
        <v>428.76</v>
      </c>
      <c r="G1075" s="100">
        <f t="shared" si="16"/>
        <v>428.76</v>
      </c>
      <c r="H1075" s="101"/>
      <c r="I1075" s="100">
        <f>G1075*H1075</f>
        <v>0</v>
      </c>
      <c r="J1075" s="39" t="s">
        <v>3664</v>
      </c>
      <c r="K1075" s="40" t="s">
        <v>41</v>
      </c>
      <c r="L1075" s="41"/>
      <c r="M1075" s="42" t="str">
        <f>HYPERLINK("https://catalog.onliner.by/xmaslights/neonnight/nn315166", "https://catalog.onliner.by/xmaslights/neonnight/nn315166")</f>
        <v>https://catalog.onliner.by/xmaslights/neonnight/nn315166</v>
      </c>
      <c r="N1075" s="42" t="str">
        <f>HYPERLINK("https://pronto.by/catalog/product/315-166.html", "https://pronto.by/catalog/product/315-166.html")</f>
        <v>https://pronto.by/catalog/product/315-166.html</v>
      </c>
    </row>
    <row r="1076" spans="1:14" customFormat="1" ht="82.8">
      <c r="A1076" s="35" t="s">
        <v>2444</v>
      </c>
      <c r="B1076" s="19" t="s">
        <v>2445</v>
      </c>
      <c r="C1076" s="20" t="s">
        <v>2446</v>
      </c>
      <c r="D1076" s="36" t="s">
        <v>28</v>
      </c>
      <c r="E1076" s="37" t="s">
        <v>3273</v>
      </c>
      <c r="F1076" s="43">
        <v>237.18</v>
      </c>
      <c r="G1076" s="100">
        <f t="shared" si="16"/>
        <v>237.18</v>
      </c>
      <c r="H1076" s="101"/>
      <c r="I1076" s="100">
        <f>G1076*H1076</f>
        <v>0</v>
      </c>
      <c r="J1076" s="39" t="s">
        <v>3664</v>
      </c>
      <c r="K1076" s="40" t="s">
        <v>69</v>
      </c>
      <c r="L1076" s="41"/>
      <c r="M1076" s="42" t="str">
        <f>HYPERLINK("https://catalog.onliner.by/xmaslights/neonnight/nn315216", "https://catalog.onliner.by/xmaslights/neonnight/nn315216")</f>
        <v>https://catalog.onliner.by/xmaslights/neonnight/nn315216</v>
      </c>
      <c r="N1076" s="42" t="str">
        <f>HYPERLINK("https://pronto.by/catalog/product/315-216.html", "https://pronto.by/catalog/product/315-216.html")</f>
        <v>https://pronto.by/catalog/product/315-216.html</v>
      </c>
    </row>
    <row r="1077" spans="1:14" customFormat="1" ht="82.8">
      <c r="A1077" s="35" t="s">
        <v>2447</v>
      </c>
      <c r="B1077" s="19" t="s">
        <v>2448</v>
      </c>
      <c r="C1077" s="20" t="s">
        <v>2449</v>
      </c>
      <c r="D1077" s="36" t="s">
        <v>28</v>
      </c>
      <c r="E1077" s="37" t="s">
        <v>3273</v>
      </c>
      <c r="F1077" s="43">
        <v>237.18</v>
      </c>
      <c r="G1077" s="100">
        <f t="shared" si="16"/>
        <v>237.18</v>
      </c>
      <c r="H1077" s="101"/>
      <c r="I1077" s="100">
        <f>G1077*H1077</f>
        <v>0</v>
      </c>
      <c r="J1077" s="39" t="s">
        <v>3664</v>
      </c>
      <c r="K1077" s="40" t="s">
        <v>41</v>
      </c>
      <c r="L1077" s="41"/>
      <c r="M1077" s="42" t="str">
        <f>HYPERLINK("https://catalog.onliner.by/xmaslights/neonnight/nn315215", "https://catalog.onliner.by/xmaslights/neonnight/nn315215")</f>
        <v>https://catalog.onliner.by/xmaslights/neonnight/nn315215</v>
      </c>
      <c r="N1077" s="42" t="str">
        <f>HYPERLINK("https://pronto.by/catalog/product/315-215.html", "https://pronto.by/catalog/product/315-215.html")</f>
        <v>https://pronto.by/catalog/product/315-215.html</v>
      </c>
    </row>
    <row r="1078" spans="1:14" customFormat="1" ht="69">
      <c r="A1078" s="35" t="s">
        <v>2450</v>
      </c>
      <c r="B1078" s="19" t="s">
        <v>2451</v>
      </c>
      <c r="C1078" s="20" t="s">
        <v>2452</v>
      </c>
      <c r="D1078" s="36" t="s">
        <v>28</v>
      </c>
      <c r="E1078" s="37" t="s">
        <v>3295</v>
      </c>
      <c r="F1078" s="43">
        <v>120</v>
      </c>
      <c r="G1078" s="100">
        <f t="shared" si="16"/>
        <v>120</v>
      </c>
      <c r="H1078" s="101"/>
      <c r="I1078" s="100">
        <f>G1078*H1078</f>
        <v>0</v>
      </c>
      <c r="J1078" s="39" t="s">
        <v>3664</v>
      </c>
      <c r="K1078" s="40" t="s">
        <v>41</v>
      </c>
      <c r="L1078" s="41"/>
      <c r="M1078" s="42" t="str">
        <f>HYPERLINK("https://catalog.onliner.by/xmaslights/neonnight/nn315135", "https://catalog.onliner.by/xmaslights/neonnight/nn315135")</f>
        <v>https://catalog.onliner.by/xmaslights/neonnight/nn315135</v>
      </c>
      <c r="N1078" s="42" t="str">
        <f>HYPERLINK("https://pronto.by/catalog/product/315-135.html", "https://pronto.by/catalog/product/315-135.html")</f>
        <v>https://pronto.by/catalog/product/315-135.html</v>
      </c>
    </row>
    <row r="1079" spans="1:14" customFormat="1" ht="82.8">
      <c r="A1079" s="35" t="s">
        <v>2453</v>
      </c>
      <c r="B1079" s="19" t="s">
        <v>2454</v>
      </c>
      <c r="C1079" s="20" t="s">
        <v>2455</v>
      </c>
      <c r="D1079" s="36" t="s">
        <v>28</v>
      </c>
      <c r="E1079" s="37" t="s">
        <v>3295</v>
      </c>
      <c r="F1079" s="43">
        <v>164.58</v>
      </c>
      <c r="G1079" s="100">
        <f t="shared" si="16"/>
        <v>164.58</v>
      </c>
      <c r="H1079" s="101"/>
      <c r="I1079" s="100">
        <f>G1079*H1079</f>
        <v>0</v>
      </c>
      <c r="J1079" s="39" t="s">
        <v>3664</v>
      </c>
      <c r="K1079" s="40" t="s">
        <v>41</v>
      </c>
      <c r="L1079" s="41"/>
      <c r="M1079" s="42" t="str">
        <f>HYPERLINK("https://catalog.onliner.by/xmaslights/neonnight/nn315139", "https://catalog.onliner.by/xmaslights/neonnight/nn315139")</f>
        <v>https://catalog.onliner.by/xmaslights/neonnight/nn315139</v>
      </c>
      <c r="N1079" s="42" t="str">
        <f>HYPERLINK("https://pronto.by/catalog/product/315-139.html", "https://pronto.by/catalog/product/315-139.html")</f>
        <v>https://pronto.by/catalog/product/315-139.html</v>
      </c>
    </row>
    <row r="1080" spans="1:14" customFormat="1" ht="82.8">
      <c r="A1080" s="35" t="s">
        <v>2456</v>
      </c>
      <c r="B1080" s="19" t="s">
        <v>2457</v>
      </c>
      <c r="C1080" s="20" t="s">
        <v>2458</v>
      </c>
      <c r="D1080" s="36" t="s">
        <v>28</v>
      </c>
      <c r="E1080" s="37" t="s">
        <v>3283</v>
      </c>
      <c r="F1080" s="43">
        <v>149.63999999999999</v>
      </c>
      <c r="G1080" s="100">
        <f t="shared" si="16"/>
        <v>149.63999999999999</v>
      </c>
      <c r="H1080" s="101"/>
      <c r="I1080" s="100">
        <f>G1080*H1080</f>
        <v>0</v>
      </c>
      <c r="J1080" s="39" t="s">
        <v>3664</v>
      </c>
      <c r="K1080" s="40" t="s">
        <v>41</v>
      </c>
      <c r="L1080" s="41"/>
      <c r="M1080" s="42" t="str">
        <f>HYPERLINK("https://catalog.onliner.by/xmaslights/neonnight/nn315136", "https://catalog.onliner.by/xmaslights/neonnight/nn315136")</f>
        <v>https://catalog.onliner.by/xmaslights/neonnight/nn315136</v>
      </c>
      <c r="N1080" s="42" t="str">
        <f>HYPERLINK("https://pronto.by/catalog/product/315-136.html", "https://pronto.by/catalog/product/315-136.html")</f>
        <v>https://pronto.by/catalog/product/315-136.html</v>
      </c>
    </row>
    <row r="1081" spans="1:14" customFormat="1" ht="82.8">
      <c r="A1081" s="35" t="s">
        <v>2459</v>
      </c>
      <c r="B1081" s="19" t="s">
        <v>2460</v>
      </c>
      <c r="C1081" s="20" t="s">
        <v>2461</v>
      </c>
      <c r="D1081" s="36" t="s">
        <v>28</v>
      </c>
      <c r="E1081" s="37" t="s">
        <v>3282</v>
      </c>
      <c r="F1081" s="43">
        <v>289.86</v>
      </c>
      <c r="G1081" s="100">
        <f t="shared" si="16"/>
        <v>289.86</v>
      </c>
      <c r="H1081" s="101"/>
      <c r="I1081" s="100">
        <f>G1081*H1081</f>
        <v>0</v>
      </c>
      <c r="J1081" s="39" t="s">
        <v>3664</v>
      </c>
      <c r="K1081" s="40" t="s">
        <v>69</v>
      </c>
      <c r="L1081" s="41"/>
      <c r="M1081" s="42" t="str">
        <f>HYPERLINK("https://catalog.onliner.by/xmaslights/neonnight/neon315505", "https://catalog.onliner.by/xmaslights/neonnight/neon315505")</f>
        <v>https://catalog.onliner.by/xmaslights/neonnight/neon315505</v>
      </c>
      <c r="N1081" s="42" t="str">
        <f>HYPERLINK("https://pronto.by/catalog/product/315-505.html", "https://pronto.by/catalog/product/315-505.html")</f>
        <v>https://pronto.by/catalog/product/315-505.html</v>
      </c>
    </row>
    <row r="1082" spans="1:14" customFormat="1" ht="82.8">
      <c r="A1082" s="35" t="s">
        <v>2462</v>
      </c>
      <c r="B1082" s="19" t="s">
        <v>2463</v>
      </c>
      <c r="C1082" s="20" t="s">
        <v>2464</v>
      </c>
      <c r="D1082" s="36" t="s">
        <v>28</v>
      </c>
      <c r="E1082" s="37" t="s">
        <v>3282</v>
      </c>
      <c r="F1082" s="43">
        <v>289.86</v>
      </c>
      <c r="G1082" s="100">
        <f t="shared" si="16"/>
        <v>289.86</v>
      </c>
      <c r="H1082" s="101"/>
      <c r="I1082" s="100">
        <f>G1082*H1082</f>
        <v>0</v>
      </c>
      <c r="J1082" s="39" t="s">
        <v>3664</v>
      </c>
      <c r="K1082" s="40" t="s">
        <v>41</v>
      </c>
      <c r="L1082" s="41"/>
      <c r="M1082" s="42" t="str">
        <f>HYPERLINK("https://catalog.onliner.by/xmaslights/neonnight/neon315506", "https://catalog.onliner.by/xmaslights/neonnight/neon315506")</f>
        <v>https://catalog.onliner.by/xmaslights/neonnight/neon315506</v>
      </c>
      <c r="N1082" s="42" t="str">
        <f>HYPERLINK("https://pronto.by/catalog/product/315-506.html", "https://pronto.by/catalog/product/315-506.html")</f>
        <v>https://pronto.by/catalog/product/315-506.html</v>
      </c>
    </row>
    <row r="1083" spans="1:14" customFormat="1" ht="82.8">
      <c r="A1083" s="35" t="s">
        <v>2465</v>
      </c>
      <c r="B1083" s="19" t="s">
        <v>2466</v>
      </c>
      <c r="C1083" s="20" t="s">
        <v>2467</v>
      </c>
      <c r="D1083" s="36" t="s">
        <v>28</v>
      </c>
      <c r="E1083" s="37" t="s">
        <v>3282</v>
      </c>
      <c r="F1083" s="43">
        <v>289.86</v>
      </c>
      <c r="G1083" s="100">
        <f t="shared" si="16"/>
        <v>289.86</v>
      </c>
      <c r="H1083" s="101"/>
      <c r="I1083" s="100">
        <f>G1083*H1083</f>
        <v>0</v>
      </c>
      <c r="J1083" s="39" t="s">
        <v>3664</v>
      </c>
      <c r="K1083" s="40" t="s">
        <v>41</v>
      </c>
      <c r="L1083" s="41"/>
      <c r="M1083" s="42" t="str">
        <f>HYPERLINK("https://catalog.onliner.by/xmaslights/neonnight/neon315515", "https://catalog.onliner.by/xmaslights/neonnight/neon315515")</f>
        <v>https://catalog.onliner.by/xmaslights/neonnight/neon315515</v>
      </c>
      <c r="N1083" s="42" t="str">
        <f>HYPERLINK("https://pronto.by/catalog/product/315-515.html", "https://pronto.by/catalog/product/315-515.html")</f>
        <v>https://pronto.by/catalog/product/315-515.html</v>
      </c>
    </row>
    <row r="1084" spans="1:14" customFormat="1" ht="82.8">
      <c r="A1084" s="35" t="s">
        <v>2468</v>
      </c>
      <c r="B1084" s="19" t="s">
        <v>2469</v>
      </c>
      <c r="C1084" s="20" t="s">
        <v>2470</v>
      </c>
      <c r="D1084" s="36" t="s">
        <v>28</v>
      </c>
      <c r="E1084" s="37" t="s">
        <v>3282</v>
      </c>
      <c r="F1084" s="43">
        <v>289.86</v>
      </c>
      <c r="G1084" s="100">
        <f t="shared" si="16"/>
        <v>289.86</v>
      </c>
      <c r="H1084" s="101"/>
      <c r="I1084" s="100">
        <f>G1084*H1084</f>
        <v>0</v>
      </c>
      <c r="J1084" s="39" t="s">
        <v>3664</v>
      </c>
      <c r="K1084" s="40" t="s">
        <v>69</v>
      </c>
      <c r="L1084" s="41"/>
      <c r="M1084" s="42" t="str">
        <f>HYPERLINK("https://catalog.onliner.by/xmaslights/neonnight/neon315516", "https://catalog.onliner.by/xmaslights/neonnight/neon315516")</f>
        <v>https://catalog.onliner.by/xmaslights/neonnight/neon315516</v>
      </c>
      <c r="N1084" s="42" t="str">
        <f>HYPERLINK("https://pronto.by/catalog/product/315-516.html", "https://pronto.by/catalog/product/315-516.html")</f>
        <v>https://pronto.by/catalog/product/315-516.html</v>
      </c>
    </row>
    <row r="1085" spans="1:14" customFormat="1" ht="82.8">
      <c r="A1085" s="35" t="s">
        <v>2471</v>
      </c>
      <c r="B1085" s="19" t="s">
        <v>2472</v>
      </c>
      <c r="C1085" s="20" t="s">
        <v>2473</v>
      </c>
      <c r="D1085" s="36" t="s">
        <v>28</v>
      </c>
      <c r="E1085" s="37" t="s">
        <v>3282</v>
      </c>
      <c r="F1085" s="43">
        <v>274.32</v>
      </c>
      <c r="G1085" s="100">
        <f t="shared" si="16"/>
        <v>274.32</v>
      </c>
      <c r="H1085" s="101"/>
      <c r="I1085" s="100">
        <f>G1085*H1085</f>
        <v>0</v>
      </c>
      <c r="J1085" s="39" t="s">
        <v>3664</v>
      </c>
      <c r="K1085" s="40" t="s">
        <v>41</v>
      </c>
      <c r="L1085" s="41"/>
      <c r="M1085" s="42" t="str">
        <f>HYPERLINK("https://catalog.onliner.by/xmaslights/neonnight/nn315145", "https://catalog.onliner.by/xmaslights/neonnight/nn315145")</f>
        <v>https://catalog.onliner.by/xmaslights/neonnight/nn315145</v>
      </c>
      <c r="N1085" s="42" t="str">
        <f>HYPERLINK("https://pronto.by/catalog/product/315-145.html", "https://pronto.by/catalog/product/315-145.html")</f>
        <v>https://pronto.by/catalog/product/315-145.html</v>
      </c>
    </row>
    <row r="1086" spans="1:14" customFormat="1" ht="82.8">
      <c r="A1086" s="35" t="s">
        <v>2474</v>
      </c>
      <c r="B1086" s="19" t="s">
        <v>2475</v>
      </c>
      <c r="C1086" s="20" t="s">
        <v>2476</v>
      </c>
      <c r="D1086" s="36" t="s">
        <v>28</v>
      </c>
      <c r="E1086" s="37" t="s">
        <v>3283</v>
      </c>
      <c r="F1086" s="43">
        <v>274.32</v>
      </c>
      <c r="G1086" s="100">
        <f t="shared" si="16"/>
        <v>274.32</v>
      </c>
      <c r="H1086" s="101"/>
      <c r="I1086" s="100">
        <f>G1086*H1086</f>
        <v>0</v>
      </c>
      <c r="J1086" s="39" t="s">
        <v>3664</v>
      </c>
      <c r="K1086" s="40" t="s">
        <v>69</v>
      </c>
      <c r="L1086" s="41"/>
      <c r="M1086" s="42" t="str">
        <f>HYPERLINK("https://catalog.onliner.by/xmaslights/neonnight/315143", "https://catalog.onliner.by/xmaslights/neonnight/315143")</f>
        <v>https://catalog.onliner.by/xmaslights/neonnight/315143</v>
      </c>
      <c r="N1086" s="42" t="str">
        <f>HYPERLINK("https://pronto.by/catalog/product/315-143.html", "https://pronto.by/catalog/product/315-143.html")</f>
        <v>https://pronto.by/catalog/product/315-143.html</v>
      </c>
    </row>
    <row r="1087" spans="1:14" customFormat="1" ht="82.8">
      <c r="A1087" s="35" t="s">
        <v>2477</v>
      </c>
      <c r="B1087" s="19" t="s">
        <v>2478</v>
      </c>
      <c r="C1087" s="20" t="s">
        <v>2479</v>
      </c>
      <c r="D1087" s="36" t="s">
        <v>28</v>
      </c>
      <c r="E1087" s="37" t="s">
        <v>3283</v>
      </c>
      <c r="F1087" s="43">
        <v>274.32</v>
      </c>
      <c r="G1087" s="100">
        <f t="shared" si="16"/>
        <v>274.32</v>
      </c>
      <c r="H1087" s="101"/>
      <c r="I1087" s="100">
        <f>G1087*H1087</f>
        <v>0</v>
      </c>
      <c r="J1087" s="39" t="s">
        <v>3664</v>
      </c>
      <c r="K1087" s="40" t="s">
        <v>69</v>
      </c>
      <c r="L1087" s="41"/>
      <c r="M1087" s="42" t="str">
        <f>HYPERLINK("https://catalog.onliner.by/xmaslights/neonnight/nn315146", "https://catalog.onliner.by/xmaslights/neonnight/nn315146")</f>
        <v>https://catalog.onliner.by/xmaslights/neonnight/nn315146</v>
      </c>
      <c r="N1087" s="42" t="str">
        <f>HYPERLINK("https://pronto.by/catalog/product/315-146.html", "https://pronto.by/catalog/product/315-146.html")</f>
        <v>https://pronto.by/catalog/product/315-146.html</v>
      </c>
    </row>
    <row r="1088" spans="1:14" customFormat="1" ht="82.8">
      <c r="A1088" s="35" t="s">
        <v>2480</v>
      </c>
      <c r="B1088" s="19" t="s">
        <v>2481</v>
      </c>
      <c r="C1088" s="20" t="s">
        <v>2482</v>
      </c>
      <c r="D1088" s="36" t="s">
        <v>28</v>
      </c>
      <c r="E1088" s="37" t="s">
        <v>3295</v>
      </c>
      <c r="F1088" s="43">
        <v>274.32</v>
      </c>
      <c r="G1088" s="100">
        <f t="shared" si="16"/>
        <v>274.32</v>
      </c>
      <c r="H1088" s="101"/>
      <c r="I1088" s="100">
        <f>G1088*H1088</f>
        <v>0</v>
      </c>
      <c r="J1088" s="39" t="s">
        <v>3664</v>
      </c>
      <c r="K1088" s="40" t="s">
        <v>41</v>
      </c>
      <c r="L1088" s="41"/>
      <c r="M1088" s="42" t="str">
        <f>HYPERLINK("https://catalog.onliner.by/xmaslights/neonnight/nn315155", "https://catalog.onliner.by/xmaslights/neonnight/nn315155")</f>
        <v>https://catalog.onliner.by/xmaslights/neonnight/nn315155</v>
      </c>
      <c r="N1088" s="42" t="str">
        <f>HYPERLINK("https://pronto.by/catalog/product/315-155.html", "https://pronto.by/catalog/product/315-155.html")</f>
        <v>https://pronto.by/catalog/product/315-155.html</v>
      </c>
    </row>
    <row r="1089" spans="1:14" customFormat="1" ht="82.8">
      <c r="A1089" s="35" t="s">
        <v>2483</v>
      </c>
      <c r="B1089" s="19" t="s">
        <v>2484</v>
      </c>
      <c r="C1089" s="20" t="s">
        <v>2485</v>
      </c>
      <c r="D1089" s="36" t="s">
        <v>28</v>
      </c>
      <c r="E1089" s="37" t="s">
        <v>3283</v>
      </c>
      <c r="F1089" s="43">
        <v>275.22000000000003</v>
      </c>
      <c r="G1089" s="100">
        <f t="shared" si="16"/>
        <v>275.22000000000003</v>
      </c>
      <c r="H1089" s="101"/>
      <c r="I1089" s="100">
        <f>G1089*H1089</f>
        <v>0</v>
      </c>
      <c r="J1089" s="39" t="s">
        <v>3664</v>
      </c>
      <c r="K1089" s="40" t="s">
        <v>41</v>
      </c>
      <c r="L1089" s="41"/>
      <c r="M1089" s="42" t="str">
        <f>HYPERLINK("https://catalog.onliner.by/xmaslights/neonnight/nn315151", "https://catalog.onliner.by/xmaslights/neonnight/nn315151")</f>
        <v>https://catalog.onliner.by/xmaslights/neonnight/nn315151</v>
      </c>
      <c r="N1089" s="42" t="str">
        <f>HYPERLINK("https://pronto.by/catalog/product/315-151.html", "https://pronto.by/catalog/product/315-151.html")</f>
        <v>https://pronto.by/catalog/product/315-151.html</v>
      </c>
    </row>
    <row r="1090" spans="1:14" customFormat="1" ht="82.8">
      <c r="A1090" s="35" t="s">
        <v>2486</v>
      </c>
      <c r="B1090" s="19" t="s">
        <v>2487</v>
      </c>
      <c r="C1090" s="20" t="s">
        <v>2488</v>
      </c>
      <c r="D1090" s="36" t="s">
        <v>28</v>
      </c>
      <c r="E1090" s="37" t="s">
        <v>3283</v>
      </c>
      <c r="F1090" s="43">
        <v>274.32</v>
      </c>
      <c r="G1090" s="100">
        <f t="shared" si="16"/>
        <v>274.32</v>
      </c>
      <c r="H1090" s="101"/>
      <c r="I1090" s="100">
        <f>G1090*H1090</f>
        <v>0</v>
      </c>
      <c r="J1090" s="39" t="s">
        <v>3664</v>
      </c>
      <c r="K1090" s="40" t="s">
        <v>69</v>
      </c>
      <c r="L1090" s="41"/>
      <c r="M1090" s="42" t="str">
        <f>HYPERLINK("https://catalog.onliner.by/xmaslights/neonnight/nn315154", "https://catalog.onliner.by/xmaslights/neonnight/nn315154")</f>
        <v>https://catalog.onliner.by/xmaslights/neonnight/nn315154</v>
      </c>
      <c r="N1090" s="42" t="str">
        <f>HYPERLINK("https://pronto.by/catalog/product/315-154.html", "https://pronto.by/catalog/product/315-154.html")</f>
        <v>https://pronto.by/catalog/product/315-154.html</v>
      </c>
    </row>
    <row r="1091" spans="1:14" customFormat="1" ht="82.8">
      <c r="A1091" s="35" t="s">
        <v>2489</v>
      </c>
      <c r="B1091" s="19" t="s">
        <v>2490</v>
      </c>
      <c r="C1091" s="20" t="s">
        <v>2491</v>
      </c>
      <c r="D1091" s="36" t="s">
        <v>28</v>
      </c>
      <c r="E1091" s="37" t="s">
        <v>3283</v>
      </c>
      <c r="F1091" s="43">
        <v>274.32</v>
      </c>
      <c r="G1091" s="100">
        <f t="shared" si="16"/>
        <v>274.32</v>
      </c>
      <c r="H1091" s="101"/>
      <c r="I1091" s="100">
        <f>G1091*H1091</f>
        <v>0</v>
      </c>
      <c r="J1091" s="39" t="s">
        <v>3664</v>
      </c>
      <c r="K1091" s="40" t="s">
        <v>69</v>
      </c>
      <c r="L1091" s="41"/>
      <c r="M1091" s="42" t="str">
        <f>HYPERLINK("https://catalog.onliner.by/xmaslights/neonnight/nn315159", "https://catalog.onliner.by/xmaslights/neonnight/nn315159")</f>
        <v>https://catalog.onliner.by/xmaslights/neonnight/nn315159</v>
      </c>
      <c r="N1091" s="42" t="str">
        <f>HYPERLINK("https://pronto.by/catalog/product/315-159.html", "https://pronto.by/catalog/product/315-159.html")</f>
        <v>https://pronto.by/catalog/product/315-159.html</v>
      </c>
    </row>
    <row r="1092" spans="1:14" customFormat="1" ht="82.8">
      <c r="A1092" s="35" t="s">
        <v>2492</v>
      </c>
      <c r="B1092" s="19" t="s">
        <v>2493</v>
      </c>
      <c r="C1092" s="20" t="s">
        <v>2494</v>
      </c>
      <c r="D1092" s="36" t="s">
        <v>28</v>
      </c>
      <c r="E1092" s="37" t="s">
        <v>3283</v>
      </c>
      <c r="F1092" s="43">
        <v>274.32</v>
      </c>
      <c r="G1092" s="100">
        <f t="shared" si="16"/>
        <v>274.32</v>
      </c>
      <c r="H1092" s="101"/>
      <c r="I1092" s="100">
        <f>G1092*H1092</f>
        <v>0</v>
      </c>
      <c r="J1092" s="39" t="s">
        <v>3664</v>
      </c>
      <c r="K1092" s="40" t="s">
        <v>69</v>
      </c>
      <c r="L1092" s="41"/>
      <c r="M1092" s="42" t="str">
        <f>HYPERLINK("https://catalog.onliner.by/xmaslights/neonnight/nn315153", "https://catalog.onliner.by/xmaslights/neonnight/nn315153")</f>
        <v>https://catalog.onliner.by/xmaslights/neonnight/nn315153</v>
      </c>
      <c r="N1092" s="42" t="str">
        <f>HYPERLINK("https://pronto.by/catalog/product/315-153.html", "https://pronto.by/catalog/product/315-153.html")</f>
        <v>https://pronto.by/catalog/product/315-153.html</v>
      </c>
    </row>
    <row r="1093" spans="1:14" customFormat="1" ht="82.8">
      <c r="A1093" s="35" t="s">
        <v>2495</v>
      </c>
      <c r="B1093" s="19" t="s">
        <v>2496</v>
      </c>
      <c r="C1093" s="20" t="s">
        <v>4047</v>
      </c>
      <c r="D1093" s="36" t="s">
        <v>28</v>
      </c>
      <c r="E1093" s="37" t="s">
        <v>3282</v>
      </c>
      <c r="F1093" s="43">
        <v>274.32</v>
      </c>
      <c r="G1093" s="100">
        <f t="shared" si="16"/>
        <v>274.32</v>
      </c>
      <c r="H1093" s="101"/>
      <c r="I1093" s="100">
        <f>G1093*H1093</f>
        <v>0</v>
      </c>
      <c r="J1093" s="39" t="s">
        <v>3664</v>
      </c>
      <c r="K1093" s="40" t="s">
        <v>69</v>
      </c>
      <c r="L1093" s="41"/>
      <c r="M1093" s="42" t="str">
        <f>HYPERLINK("https://catalog.onliner.by/xmaslights/neonnight/nn315156", "https://catalog.onliner.by/xmaslights/neonnight/nn315156")</f>
        <v>https://catalog.onliner.by/xmaslights/neonnight/nn315156</v>
      </c>
      <c r="N1093" s="42" t="str">
        <f>HYPERLINK("https://pronto.by/catalog/product/315-156.html", "https://pronto.by/catalog/product/315-156.html")</f>
        <v>https://pronto.by/catalog/product/315-156.html</v>
      </c>
    </row>
    <row r="1094" spans="1:14" customFormat="1" ht="69">
      <c r="A1094" s="35" t="s">
        <v>2497</v>
      </c>
      <c r="B1094" s="19" t="s">
        <v>2498</v>
      </c>
      <c r="C1094" s="20" t="s">
        <v>2499</v>
      </c>
      <c r="D1094" s="36" t="s">
        <v>28</v>
      </c>
      <c r="E1094" s="37" t="s">
        <v>3283</v>
      </c>
      <c r="F1094" s="43">
        <v>270.18</v>
      </c>
      <c r="G1094" s="100">
        <f t="shared" si="16"/>
        <v>270.18</v>
      </c>
      <c r="H1094" s="101"/>
      <c r="I1094" s="100">
        <f>G1094*H1094</f>
        <v>0</v>
      </c>
      <c r="J1094" s="39" t="s">
        <v>3664</v>
      </c>
      <c r="K1094" s="40" t="s">
        <v>41</v>
      </c>
      <c r="L1094" s="41"/>
      <c r="M1094" s="42" t="str">
        <f>HYPERLINK("https://catalog.onliner.by/xmaslights/neonnight/nn315195", "https://catalog.onliner.by/xmaslights/neonnight/nn315195")</f>
        <v>https://catalog.onliner.by/xmaslights/neonnight/nn315195</v>
      </c>
      <c r="N1094" s="42" t="str">
        <f>HYPERLINK("https://pronto.by/catalog/product/315-195.html", "https://pronto.by/catalog/product/315-195.html")</f>
        <v>https://pronto.by/catalog/product/315-195.html</v>
      </c>
    </row>
    <row r="1095" spans="1:14" customFormat="1" ht="82.8">
      <c r="A1095" s="35" t="s">
        <v>2500</v>
      </c>
      <c r="B1095" s="19" t="s">
        <v>2501</v>
      </c>
      <c r="C1095" s="20" t="s">
        <v>2502</v>
      </c>
      <c r="D1095" s="36" t="s">
        <v>28</v>
      </c>
      <c r="E1095" s="37" t="s">
        <v>3273</v>
      </c>
      <c r="F1095" s="43">
        <v>270.18</v>
      </c>
      <c r="G1095" s="100">
        <f t="shared" si="16"/>
        <v>270.18</v>
      </c>
      <c r="H1095" s="101"/>
      <c r="I1095" s="100">
        <f>G1095*H1095</f>
        <v>0</v>
      </c>
      <c r="J1095" s="39" t="s">
        <v>3664</v>
      </c>
      <c r="K1095" s="40" t="s">
        <v>69</v>
      </c>
      <c r="L1095" s="41"/>
      <c r="M1095" s="42" t="str">
        <f>HYPERLINK("https://catalog.onliner.by/xmaslights/neonnight/nn315196", "https://catalog.onliner.by/xmaslights/neonnight/nn315196")</f>
        <v>https://catalog.onliner.by/xmaslights/neonnight/nn315196</v>
      </c>
      <c r="N1095" s="42" t="str">
        <f>HYPERLINK("https://pronto.by/catalog/product/315-196.html", "https://pronto.by/catalog/product/315-196.html")</f>
        <v>https://pronto.by/catalog/product/315-196.html</v>
      </c>
    </row>
    <row r="1096" spans="1:14" customFormat="1" ht="82.8">
      <c r="A1096" s="53" t="s">
        <v>4048</v>
      </c>
      <c r="B1096" s="60" t="s">
        <v>4049</v>
      </c>
      <c r="C1096" s="61" t="s">
        <v>4050</v>
      </c>
      <c r="D1096" s="36" t="s">
        <v>28</v>
      </c>
      <c r="E1096" s="37"/>
      <c r="F1096" s="43">
        <v>319.38000000000005</v>
      </c>
      <c r="G1096" s="100">
        <f t="shared" si="16"/>
        <v>319.38</v>
      </c>
      <c r="H1096" s="101"/>
      <c r="I1096" s="100">
        <f>G1096*H1096</f>
        <v>0</v>
      </c>
      <c r="J1096" s="39" t="s">
        <v>3664</v>
      </c>
      <c r="K1096" s="40" t="s">
        <v>69</v>
      </c>
      <c r="L1096" s="41"/>
      <c r="M1096" s="44"/>
      <c r="N1096" s="44"/>
    </row>
    <row r="1097" spans="1:14" customFormat="1" ht="69">
      <c r="A1097" s="35" t="s">
        <v>2503</v>
      </c>
      <c r="B1097" s="19" t="s">
        <v>2504</v>
      </c>
      <c r="C1097" s="20" t="s">
        <v>2505</v>
      </c>
      <c r="D1097" s="36" t="s">
        <v>28</v>
      </c>
      <c r="E1097" s="37" t="s">
        <v>3282</v>
      </c>
      <c r="F1097" s="43">
        <v>319.38000000000005</v>
      </c>
      <c r="G1097" s="100">
        <f t="shared" si="16"/>
        <v>319.38</v>
      </c>
      <c r="H1097" s="101"/>
      <c r="I1097" s="100">
        <f>G1097*H1097</f>
        <v>0</v>
      </c>
      <c r="J1097" s="39" t="s">
        <v>3664</v>
      </c>
      <c r="K1097" s="40" t="s">
        <v>69</v>
      </c>
      <c r="L1097" s="41"/>
      <c r="M1097" s="42" t="str">
        <f>HYPERLINK("https://catalog.onliner.by/xmaslights/neonnight/neon315536", "https://catalog.onliner.by/xmaslights/neonnight/neon315536")</f>
        <v>https://catalog.onliner.by/xmaslights/neonnight/neon315536</v>
      </c>
      <c r="N1097" s="42" t="str">
        <f>HYPERLINK("https://pronto.by/catalog/product/315-536.html", "https://pronto.by/catalog/product/315-536.html")</f>
        <v>https://pronto.by/catalog/product/315-536.html</v>
      </c>
    </row>
    <row r="1098" spans="1:14" customFormat="1" ht="82.8">
      <c r="A1098" s="35" t="s">
        <v>2506</v>
      </c>
      <c r="B1098" s="19" t="s">
        <v>2507</v>
      </c>
      <c r="C1098" s="20" t="s">
        <v>2508</v>
      </c>
      <c r="D1098" s="36" t="s">
        <v>28</v>
      </c>
      <c r="E1098" s="37" t="s">
        <v>3282</v>
      </c>
      <c r="F1098" s="43">
        <v>319.38000000000005</v>
      </c>
      <c r="G1098" s="100">
        <f t="shared" si="16"/>
        <v>319.38</v>
      </c>
      <c r="H1098" s="101"/>
      <c r="I1098" s="100">
        <f>G1098*H1098</f>
        <v>0</v>
      </c>
      <c r="J1098" s="39" t="s">
        <v>3664</v>
      </c>
      <c r="K1098" s="40" t="s">
        <v>41</v>
      </c>
      <c r="L1098" s="41"/>
      <c r="M1098" s="42" t="str">
        <f>HYPERLINK("https://catalog.onliner.by/xmaslights/neonnight/neon315525", "https://catalog.onliner.by/xmaslights/neonnight/neon315525")</f>
        <v>https://catalog.onliner.by/xmaslights/neonnight/neon315525</v>
      </c>
      <c r="N1098" s="42" t="str">
        <f>HYPERLINK("https://pronto.by/catalog/product/315-525.html", "https://pronto.by/catalog/product/315-525.html")</f>
        <v>https://pronto.by/catalog/product/315-525.html</v>
      </c>
    </row>
    <row r="1099" spans="1:14" customFormat="1" ht="82.8">
      <c r="A1099" s="35" t="s">
        <v>2509</v>
      </c>
      <c r="B1099" s="19" t="s">
        <v>2510</v>
      </c>
      <c r="C1099" s="20" t="s">
        <v>2511</v>
      </c>
      <c r="D1099" s="36" t="s">
        <v>28</v>
      </c>
      <c r="E1099" s="37" t="s">
        <v>3282</v>
      </c>
      <c r="F1099" s="43">
        <v>319.38000000000005</v>
      </c>
      <c r="G1099" s="100">
        <f t="shared" si="16"/>
        <v>319.38</v>
      </c>
      <c r="H1099" s="101"/>
      <c r="I1099" s="100">
        <f>G1099*H1099</f>
        <v>0</v>
      </c>
      <c r="J1099" s="39" t="s">
        <v>3664</v>
      </c>
      <c r="K1099" s="40" t="s">
        <v>69</v>
      </c>
      <c r="L1099" s="41"/>
      <c r="M1099" s="42" t="str">
        <f>HYPERLINK("https://catalog.onliner.by/xmaslights/neonnight/neon315526", "https://catalog.onliner.by/xmaslights/neonnight/neon315526")</f>
        <v>https://catalog.onliner.by/xmaslights/neonnight/neon315526</v>
      </c>
      <c r="N1099" s="42" t="str">
        <f>HYPERLINK("https://pronto.by/catalog/product/315-526.html", "https://pronto.by/catalog/product/315-526.html")</f>
        <v>https://pronto.by/catalog/product/315-526.html</v>
      </c>
    </row>
    <row r="1100" spans="1:14" customFormat="1" ht="69">
      <c r="A1100" s="35" t="s">
        <v>2512</v>
      </c>
      <c r="B1100" s="19" t="s">
        <v>2513</v>
      </c>
      <c r="C1100" s="20" t="s">
        <v>4051</v>
      </c>
      <c r="D1100" s="36" t="s">
        <v>28</v>
      </c>
      <c r="E1100" s="37" t="s">
        <v>3283</v>
      </c>
      <c r="F1100" s="43">
        <v>282.66000000000003</v>
      </c>
      <c r="G1100" s="100">
        <f t="shared" si="16"/>
        <v>282.66000000000003</v>
      </c>
      <c r="H1100" s="101"/>
      <c r="I1100" s="100">
        <f>G1100*H1100</f>
        <v>0</v>
      </c>
      <c r="J1100" s="39" t="s">
        <v>3664</v>
      </c>
      <c r="K1100" s="40" t="s">
        <v>69</v>
      </c>
      <c r="L1100" s="41"/>
      <c r="M1100" s="42" t="str">
        <f>HYPERLINK("https://catalog.onliner.by/xmaslights/neonnight/315185", "https://catalog.onliner.by/xmaslights/neonnight/315185")</f>
        <v>https://catalog.onliner.by/xmaslights/neonnight/315185</v>
      </c>
      <c r="N1100" s="42" t="str">
        <f>HYPERLINK("https://pronto.by/catalog/product/315-185.html", "https://pronto.by/catalog/product/315-185.html")</f>
        <v>https://pronto.by/catalog/product/315-185.html</v>
      </c>
    </row>
    <row r="1101" spans="1:14" customFormat="1" ht="69">
      <c r="A1101" s="35" t="s">
        <v>2514</v>
      </c>
      <c r="B1101" s="19" t="s">
        <v>2515</v>
      </c>
      <c r="C1101" s="20" t="s">
        <v>2516</v>
      </c>
      <c r="D1101" s="36" t="s">
        <v>28</v>
      </c>
      <c r="E1101" s="37" t="s">
        <v>3283</v>
      </c>
      <c r="F1101" s="43">
        <v>282.66000000000003</v>
      </c>
      <c r="G1101" s="100">
        <f t="shared" si="16"/>
        <v>282.66000000000003</v>
      </c>
      <c r="H1101" s="101"/>
      <c r="I1101" s="100">
        <f>G1101*H1101</f>
        <v>0</v>
      </c>
      <c r="J1101" s="39" t="s">
        <v>3664</v>
      </c>
      <c r="K1101" s="40" t="s">
        <v>41</v>
      </c>
      <c r="L1101" s="41"/>
      <c r="M1101" s="42" t="str">
        <f>HYPERLINK("https://catalog.onliner.by/xmaslights/neonnight/315181", "https://catalog.onliner.by/xmaslights/neonnight/315181")</f>
        <v>https://catalog.onliner.by/xmaslights/neonnight/315181</v>
      </c>
      <c r="N1101" s="42" t="str">
        <f>HYPERLINK("https://pronto.by/catalog/product/315-181.html", "https://pronto.by/catalog/product/315-181.html")</f>
        <v>https://pronto.by/catalog/product/315-181.html</v>
      </c>
    </row>
    <row r="1102" spans="1:14" customFormat="1" ht="69">
      <c r="A1102" s="35" t="s">
        <v>2517</v>
      </c>
      <c r="B1102" s="19" t="s">
        <v>2518</v>
      </c>
      <c r="C1102" s="20" t="s">
        <v>2519</v>
      </c>
      <c r="D1102" s="36" t="s">
        <v>28</v>
      </c>
      <c r="E1102" s="37" t="s">
        <v>3283</v>
      </c>
      <c r="F1102" s="43">
        <v>282.66000000000003</v>
      </c>
      <c r="G1102" s="100">
        <f t="shared" si="16"/>
        <v>282.66000000000003</v>
      </c>
      <c r="H1102" s="101"/>
      <c r="I1102" s="100">
        <f>G1102*H1102</f>
        <v>0</v>
      </c>
      <c r="J1102" s="39" t="s">
        <v>3664</v>
      </c>
      <c r="K1102" s="40" t="s">
        <v>69</v>
      </c>
      <c r="L1102" s="41"/>
      <c r="M1102" s="42" t="str">
        <f>HYPERLINK("https://catalog.onliner.by/xmaslights/neonnight/315183", "https://catalog.onliner.by/xmaslights/neonnight/315183")</f>
        <v>https://catalog.onliner.by/xmaslights/neonnight/315183</v>
      </c>
      <c r="N1102" s="42" t="str">
        <f>HYPERLINK("https://pronto.by/catalog/product/315-183.html", "https://pronto.by/catalog/product/315-183.html")</f>
        <v>https://pronto.by/catalog/product/315-183.html</v>
      </c>
    </row>
    <row r="1103" spans="1:14" customFormat="1" ht="82.8">
      <c r="A1103" s="35" t="s">
        <v>2520</v>
      </c>
      <c r="B1103" s="19" t="s">
        <v>2521</v>
      </c>
      <c r="C1103" s="20" t="s">
        <v>4052</v>
      </c>
      <c r="D1103" s="36" t="s">
        <v>28</v>
      </c>
      <c r="E1103" s="37" t="s">
        <v>3282</v>
      </c>
      <c r="F1103" s="43">
        <v>282.66000000000003</v>
      </c>
      <c r="G1103" s="100">
        <f t="shared" ref="G1103:G1165" si="17">ROUND(F1103-F1103*G$3,2)</f>
        <v>282.66000000000003</v>
      </c>
      <c r="H1103" s="101"/>
      <c r="I1103" s="100">
        <f>G1103*H1103</f>
        <v>0</v>
      </c>
      <c r="J1103" s="39" t="s">
        <v>3664</v>
      </c>
      <c r="K1103" s="40" t="s">
        <v>69</v>
      </c>
      <c r="L1103" s="41"/>
      <c r="M1103" s="42" t="str">
        <f>HYPERLINK("https://catalog.onliner.by/xmaslights/neonnight/315186", "https://catalog.onliner.by/xmaslights/neonnight/315186")</f>
        <v>https://catalog.onliner.by/xmaslights/neonnight/315186</v>
      </c>
      <c r="N1103" s="42" t="str">
        <f>HYPERLINK("https://pronto.by/catalog/product/315-186.html", "https://pronto.by/catalog/product/315-186.html")</f>
        <v>https://pronto.by/catalog/product/315-186.html</v>
      </c>
    </row>
    <row r="1104" spans="1:14" customFormat="1" ht="71.400000000000006">
      <c r="A1104" s="45" t="s">
        <v>2522</v>
      </c>
      <c r="B1104" s="46" t="s">
        <v>2523</v>
      </c>
      <c r="C1104" s="54" t="s">
        <v>2524</v>
      </c>
      <c r="D1104" s="47" t="s">
        <v>28</v>
      </c>
      <c r="E1104" s="48" t="s">
        <v>3283</v>
      </c>
      <c r="F1104" s="43">
        <v>297.54000000000002</v>
      </c>
      <c r="G1104" s="100">
        <f t="shared" si="17"/>
        <v>297.54000000000002</v>
      </c>
      <c r="H1104" s="101"/>
      <c r="I1104" s="100">
        <f>G1104*H1104</f>
        <v>0</v>
      </c>
      <c r="J1104" s="39" t="s">
        <v>3664</v>
      </c>
      <c r="K1104" s="40" t="s">
        <v>69</v>
      </c>
      <c r="L1104" s="41"/>
      <c r="M1104" s="42" t="s">
        <v>4053</v>
      </c>
      <c r="N1104" s="42" t="str">
        <f>HYPERLINK("https://pronto.by/catalog/prazdnichnaya-svetotehnika/professional-professionalnye-proekty/girlyanda-nit/nit-kauchuk-dyurapley/315-173.html", "https://pronto.by/catalog/prazdnichnaya-svetotehnika/professional-professionalnye-proekty/girlyanda-nit/nit-kauchuk-dyurapley/315-173.html")</f>
        <v>https://pronto.by/catalog/prazdnichnaya-svetotehnika/professional-professionalnye-proekty/girlyanda-nit/nit-kauchuk-dyurapley/315-173.html</v>
      </c>
    </row>
    <row r="1105" spans="1:14" customFormat="1" ht="69">
      <c r="A1105" s="35" t="s">
        <v>2525</v>
      </c>
      <c r="B1105" s="19" t="s">
        <v>2526</v>
      </c>
      <c r="C1105" s="20" t="s">
        <v>2527</v>
      </c>
      <c r="D1105" s="36" t="s">
        <v>28</v>
      </c>
      <c r="E1105" s="37" t="s">
        <v>3282</v>
      </c>
      <c r="F1105" s="43">
        <v>282.66000000000003</v>
      </c>
      <c r="G1105" s="100">
        <f t="shared" si="17"/>
        <v>282.66000000000003</v>
      </c>
      <c r="H1105" s="101"/>
      <c r="I1105" s="100">
        <f>G1105*H1105</f>
        <v>0</v>
      </c>
      <c r="J1105" s="39" t="s">
        <v>3664</v>
      </c>
      <c r="K1105" s="40" t="s">
        <v>41</v>
      </c>
      <c r="L1105" s="41"/>
      <c r="M1105" s="42" t="str">
        <f>HYPERLINK("https://catalog.onliner.by/xmaslights/neonnight/nn315175", "https://catalog.onliner.by/xmaslights/neonnight/nn315175")</f>
        <v>https://catalog.onliner.by/xmaslights/neonnight/nn315175</v>
      </c>
      <c r="N1105" s="42" t="str">
        <f>HYPERLINK("https://pronto.by/catalog/product/315-175.html", "https://pronto.by/catalog/product/315-175.html")</f>
        <v>https://pronto.by/catalog/product/315-175.html</v>
      </c>
    </row>
    <row r="1106" spans="1:14" customFormat="1" ht="82.8">
      <c r="A1106" s="35" t="s">
        <v>2528</v>
      </c>
      <c r="B1106" s="19" t="s">
        <v>2529</v>
      </c>
      <c r="C1106" s="20" t="s">
        <v>2530</v>
      </c>
      <c r="D1106" s="36" t="s">
        <v>28</v>
      </c>
      <c r="E1106" s="37" t="s">
        <v>3283</v>
      </c>
      <c r="F1106" s="43">
        <v>282.66000000000003</v>
      </c>
      <c r="G1106" s="100">
        <f t="shared" si="17"/>
        <v>282.66000000000003</v>
      </c>
      <c r="H1106" s="101"/>
      <c r="I1106" s="100">
        <f>G1106*H1106</f>
        <v>0</v>
      </c>
      <c r="J1106" s="39" t="s">
        <v>3664</v>
      </c>
      <c r="K1106" s="40" t="s">
        <v>69</v>
      </c>
      <c r="L1106" s="41"/>
      <c r="M1106" s="42" t="str">
        <f>HYPERLINK("https://catalog.onliner.by/xmaslights/neonnight/nn315176", "https://catalog.onliner.by/xmaslights/neonnight/nn315176")</f>
        <v>https://catalog.onliner.by/xmaslights/neonnight/nn315176</v>
      </c>
      <c r="N1106" s="42" t="str">
        <f>HYPERLINK("https://pronto.by/catalog/product/315-176.html", "https://pronto.by/catalog/product/315-176.html")</f>
        <v>https://pronto.by/catalog/product/315-176.html</v>
      </c>
    </row>
    <row r="1107" spans="1:14" customFormat="1" ht="15.6">
      <c r="A1107" s="81" t="s">
        <v>4054</v>
      </c>
      <c r="B1107" s="67"/>
      <c r="C1107" s="67"/>
      <c r="D1107" s="32"/>
      <c r="E1107" s="32"/>
      <c r="F1107" s="32"/>
      <c r="G1107" s="52"/>
      <c r="H1107" s="52"/>
      <c r="I1107" s="52"/>
      <c r="J1107" s="32"/>
      <c r="K1107" s="32"/>
      <c r="L1107" s="33"/>
      <c r="M1107" s="33"/>
      <c r="N1107" s="34"/>
    </row>
    <row r="1108" spans="1:14" customFormat="1" ht="82.8">
      <c r="A1108" s="35" t="s">
        <v>2531</v>
      </c>
      <c r="B1108" s="19" t="s">
        <v>2532</v>
      </c>
      <c r="C1108" s="20" t="s">
        <v>4055</v>
      </c>
      <c r="D1108" s="36" t="s">
        <v>28</v>
      </c>
      <c r="E1108" s="37" t="s">
        <v>3291</v>
      </c>
      <c r="F1108" s="43">
        <v>240.6</v>
      </c>
      <c r="G1108" s="100">
        <f t="shared" si="17"/>
        <v>240.6</v>
      </c>
      <c r="H1108" s="101"/>
      <c r="I1108" s="100">
        <f>G1108*H1108</f>
        <v>0</v>
      </c>
      <c r="J1108" s="39" t="s">
        <v>3336</v>
      </c>
      <c r="K1108" s="40" t="s">
        <v>69</v>
      </c>
      <c r="L1108" s="41" t="s">
        <v>4056</v>
      </c>
      <c r="M1108" s="42" t="str">
        <f>HYPERLINK("https://catalog.onliner.by/xmaslights/neonnight/nn3035092", "https://catalog.onliner.by/xmaslights/neonnight/nn3035092")</f>
        <v>https://catalog.onliner.by/xmaslights/neonnight/nn3035092</v>
      </c>
      <c r="N1108" s="42" t="str">
        <f>HYPERLINK("https://pronto.by/catalog/product/303-509-2.html", "https://pronto.by/catalog/product/303-509-2.html")</f>
        <v>https://pronto.by/catalog/product/303-509-2.html</v>
      </c>
    </row>
    <row r="1109" spans="1:14" customFormat="1" ht="96.6">
      <c r="A1109" s="45" t="s">
        <v>2533</v>
      </c>
      <c r="B1109" s="46" t="s">
        <v>2534</v>
      </c>
      <c r="C1109" s="54" t="s">
        <v>4057</v>
      </c>
      <c r="D1109" s="47" t="s">
        <v>28</v>
      </c>
      <c r="E1109" s="48" t="s">
        <v>3308</v>
      </c>
      <c r="F1109" s="43">
        <v>229.14000000000001</v>
      </c>
      <c r="G1109" s="100">
        <f t="shared" si="17"/>
        <v>229.14</v>
      </c>
      <c r="H1109" s="101"/>
      <c r="I1109" s="100">
        <f>G1109*H1109</f>
        <v>0</v>
      </c>
      <c r="J1109" s="39" t="s">
        <v>3336</v>
      </c>
      <c r="K1109" s="40" t="s">
        <v>69</v>
      </c>
      <c r="L1109" s="41"/>
      <c r="M1109" s="42" t="s">
        <v>4058</v>
      </c>
      <c r="N1109" s="42" t="str">
        <f>HYPERLINK("https://pronto.by/catalog/prazdnichnaya-svetotehnika/professional-professionalnye-proekty/girlyanda-nit/multishariki-pvh/303-509-4.html", "https://pronto.by/catalog/prazdnichnaya-svetotehnika/professional-professionalnye-proekty/girlyanda-nit/multishariki-pvh/303-509-4.html")</f>
        <v>https://pronto.by/catalog/prazdnichnaya-svetotehnika/professional-professionalnye-proekty/girlyanda-nit/multishariki-pvh/303-509-4.html</v>
      </c>
    </row>
    <row r="1110" spans="1:14" customFormat="1" ht="82.8">
      <c r="A1110" s="35" t="s">
        <v>2535</v>
      </c>
      <c r="B1110" s="19" t="s">
        <v>2536</v>
      </c>
      <c r="C1110" s="20" t="s">
        <v>4059</v>
      </c>
      <c r="D1110" s="36" t="s">
        <v>28</v>
      </c>
      <c r="E1110" s="37" t="s">
        <v>3283</v>
      </c>
      <c r="F1110" s="43">
        <v>433.14000000000004</v>
      </c>
      <c r="G1110" s="100">
        <f t="shared" si="17"/>
        <v>433.14</v>
      </c>
      <c r="H1110" s="101"/>
      <c r="I1110" s="100">
        <f>G1110*H1110</f>
        <v>0</v>
      </c>
      <c r="J1110" s="39" t="s">
        <v>3336</v>
      </c>
      <c r="K1110" s="40" t="s">
        <v>69</v>
      </c>
      <c r="L1110" s="41" t="s">
        <v>4060</v>
      </c>
      <c r="M1110" s="42" t="str">
        <f>HYPERLINK("https://catalog.onliner.by/xmaslights/neonnight/nn3035091", "https://catalog.onliner.by/xmaslights/neonnight/nn3035091")</f>
        <v>https://catalog.onliner.by/xmaslights/neonnight/nn3035091</v>
      </c>
      <c r="N1110" s="42" t="str">
        <f>HYPERLINK("https://pronto.by/catalog/product/303-509-1.html", "https://pronto.by/catalog/product/303-509-1.html")</f>
        <v>https://pronto.by/catalog/product/303-509-1.html</v>
      </c>
    </row>
    <row r="1111" spans="1:14" customFormat="1" ht="82.8">
      <c r="A1111" s="35" t="s">
        <v>2537</v>
      </c>
      <c r="B1111" s="19" t="s">
        <v>2538</v>
      </c>
      <c r="C1111" s="20" t="s">
        <v>4061</v>
      </c>
      <c r="D1111" s="36" t="s">
        <v>28</v>
      </c>
      <c r="E1111" s="37" t="s">
        <v>3283</v>
      </c>
      <c r="F1111" s="43">
        <v>416.34000000000003</v>
      </c>
      <c r="G1111" s="100">
        <f t="shared" si="17"/>
        <v>416.34</v>
      </c>
      <c r="H1111" s="101"/>
      <c r="I1111" s="100">
        <f>G1111*H1111</f>
        <v>0</v>
      </c>
      <c r="J1111" s="39" t="s">
        <v>3336</v>
      </c>
      <c r="K1111" s="40" t="s">
        <v>69</v>
      </c>
      <c r="L1111" s="41"/>
      <c r="M1111" s="42" t="str">
        <f>HYPERLINK("https://catalog.onliner.by/xmaslights/neonnight/nn303509", "https://catalog.onliner.by/xmaslights/neonnight/nn303509")</f>
        <v>https://catalog.onliner.by/xmaslights/neonnight/nn303509</v>
      </c>
      <c r="N1111" s="42" t="str">
        <f>HYPERLINK("https://pronto.by/catalog/product/303-509.html", "https://pronto.by/catalog/product/303-509.html")</f>
        <v>https://pronto.by/catalog/product/303-509.html</v>
      </c>
    </row>
    <row r="1112" spans="1:14" customFormat="1" ht="69">
      <c r="A1112" s="35" t="s">
        <v>2539</v>
      </c>
      <c r="B1112" s="19" t="s">
        <v>2540</v>
      </c>
      <c r="C1112" s="20" t="s">
        <v>2541</v>
      </c>
      <c r="D1112" s="36" t="s">
        <v>28</v>
      </c>
      <c r="E1112" s="37" t="s">
        <v>3283</v>
      </c>
      <c r="F1112" s="43">
        <v>525</v>
      </c>
      <c r="G1112" s="100">
        <f t="shared" si="17"/>
        <v>525</v>
      </c>
      <c r="H1112" s="101"/>
      <c r="I1112" s="100">
        <f>G1112*H1112</f>
        <v>0</v>
      </c>
      <c r="J1112" s="39" t="s">
        <v>3336</v>
      </c>
      <c r="K1112" s="40" t="s">
        <v>69</v>
      </c>
      <c r="L1112" s="41"/>
      <c r="M1112" s="42" t="str">
        <f>HYPERLINK("https://catalog.onliner.by/xmaslights/neonnight/nn303529", "https://catalog.onliner.by/xmaslights/neonnight/nn303529")</f>
        <v>https://catalog.onliner.by/xmaslights/neonnight/nn303529</v>
      </c>
      <c r="N1112" s="42" t="str">
        <f>HYPERLINK("https://pronto.by/catalog/product/303-529.html", "https://pronto.by/catalog/product/303-529.html")</f>
        <v>https://pronto.by/catalog/product/303-529.html</v>
      </c>
    </row>
    <row r="1113" spans="1:14" customFormat="1" ht="82.8">
      <c r="A1113" s="35" t="s">
        <v>2542</v>
      </c>
      <c r="B1113" s="19" t="s">
        <v>2543</v>
      </c>
      <c r="C1113" s="20" t="s">
        <v>2544</v>
      </c>
      <c r="D1113" s="36" t="s">
        <v>28</v>
      </c>
      <c r="E1113" s="37" t="s">
        <v>3283</v>
      </c>
      <c r="F1113" s="43">
        <v>356.09999999999997</v>
      </c>
      <c r="G1113" s="100">
        <f t="shared" si="17"/>
        <v>356.1</v>
      </c>
      <c r="H1113" s="101"/>
      <c r="I1113" s="100">
        <f>G1113*H1113</f>
        <v>0</v>
      </c>
      <c r="J1113" s="39" t="s">
        <v>3336</v>
      </c>
      <c r="K1113" s="40" t="s">
        <v>69</v>
      </c>
      <c r="L1113" s="41"/>
      <c r="M1113" s="42" t="str">
        <f>HYPERLINK("https://catalog.onliner.by/xmaslights/neonnight/nn303503", "https://catalog.onliner.by/xmaslights/neonnight/nn303503")</f>
        <v>https://catalog.onliner.by/xmaslights/neonnight/nn303503</v>
      </c>
      <c r="N1113" s="42" t="str">
        <f>HYPERLINK("https://pronto.by/catalog/product/303-503.html", "https://pronto.by/catalog/product/303-503.html")</f>
        <v>https://pronto.by/catalog/product/303-503.html</v>
      </c>
    </row>
    <row r="1114" spans="1:14" customFormat="1" ht="82.8">
      <c r="A1114" s="35" t="s">
        <v>2545</v>
      </c>
      <c r="B1114" s="19" t="s">
        <v>2546</v>
      </c>
      <c r="C1114" s="20" t="s">
        <v>2547</v>
      </c>
      <c r="D1114" s="36" t="s">
        <v>28</v>
      </c>
      <c r="E1114" s="37" t="s">
        <v>3283</v>
      </c>
      <c r="F1114" s="43">
        <v>266.88</v>
      </c>
      <c r="G1114" s="100">
        <f t="shared" si="17"/>
        <v>266.88</v>
      </c>
      <c r="H1114" s="101"/>
      <c r="I1114" s="100">
        <f>G1114*H1114</f>
        <v>0</v>
      </c>
      <c r="J1114" s="39" t="s">
        <v>3336</v>
      </c>
      <c r="K1114" s="40" t="s">
        <v>69</v>
      </c>
      <c r="L1114" s="41"/>
      <c r="M1114" s="42" t="str">
        <f>HYPERLINK("https://catalog.onliner.by/xmaslights/neonnight/nn303575", "https://catalog.onliner.by/xmaslights/neonnight/nn303575")</f>
        <v>https://catalog.onliner.by/xmaslights/neonnight/nn303575</v>
      </c>
      <c r="N1114" s="42" t="str">
        <f>HYPERLINK("https://pronto.by/catalog/product/303-575.html", "https://pronto.by/catalog/product/303-575.html")</f>
        <v>https://pronto.by/catalog/product/303-575.html</v>
      </c>
    </row>
    <row r="1115" spans="1:14" customFormat="1" ht="82.8">
      <c r="A1115" s="35" t="s">
        <v>2548</v>
      </c>
      <c r="B1115" s="19" t="s">
        <v>2549</v>
      </c>
      <c r="C1115" s="20" t="s">
        <v>4062</v>
      </c>
      <c r="D1115" s="36" t="s">
        <v>28</v>
      </c>
      <c r="E1115" s="37" t="s">
        <v>3273</v>
      </c>
      <c r="F1115" s="43">
        <v>204.29999999999998</v>
      </c>
      <c r="G1115" s="100">
        <f t="shared" si="17"/>
        <v>204.3</v>
      </c>
      <c r="H1115" s="101"/>
      <c r="I1115" s="100">
        <f>G1115*H1115</f>
        <v>0</v>
      </c>
      <c r="J1115" s="39" t="s">
        <v>3336</v>
      </c>
      <c r="K1115" s="40" t="s">
        <v>69</v>
      </c>
      <c r="L1115" s="41"/>
      <c r="M1115" s="42" t="str">
        <f>HYPERLINK("https://catalog.onliner.by/xmaslights/neonnight/303516", "https://catalog.onliner.by/xmaslights/neonnight/303516")</f>
        <v>https://catalog.onliner.by/xmaslights/neonnight/303516</v>
      </c>
      <c r="N1115" s="42" t="str">
        <f>HYPERLINK("https://pronto.by/catalog/product/303-516.html", "https://pronto.by/catalog/product/303-516.html")</f>
        <v>https://pronto.by/catalog/product/303-516.html</v>
      </c>
    </row>
    <row r="1116" spans="1:14" customFormat="1" ht="69">
      <c r="A1116" s="35" t="s">
        <v>2550</v>
      </c>
      <c r="B1116" s="19" t="s">
        <v>2551</v>
      </c>
      <c r="C1116" s="20" t="s">
        <v>2552</v>
      </c>
      <c r="D1116" s="36" t="s">
        <v>28</v>
      </c>
      <c r="E1116" s="37" t="s">
        <v>3283</v>
      </c>
      <c r="F1116" s="43">
        <v>356.09999999999997</v>
      </c>
      <c r="G1116" s="100">
        <f t="shared" si="17"/>
        <v>356.1</v>
      </c>
      <c r="H1116" s="101"/>
      <c r="I1116" s="100">
        <f>G1116*H1116</f>
        <v>0</v>
      </c>
      <c r="J1116" s="39" t="s">
        <v>3336</v>
      </c>
      <c r="K1116" s="40" t="s">
        <v>69</v>
      </c>
      <c r="L1116" s="41"/>
      <c r="M1116" s="42" t="str">
        <f>HYPERLINK("https://catalog.onliner.by/xmaslights/neonnight/nn303505", "https://catalog.onliner.by/xmaslights/neonnight/nn303505")</f>
        <v>https://catalog.onliner.by/xmaslights/neonnight/nn303505</v>
      </c>
      <c r="N1116" s="42" t="str">
        <f>HYPERLINK("https://pronto.by/catalog/product/303-505.html", "https://pronto.by/catalog/product/303-505.html")</f>
        <v>https://pronto.by/catalog/product/303-505.html</v>
      </c>
    </row>
    <row r="1117" spans="1:14" customFormat="1" ht="69">
      <c r="A1117" s="35" t="s">
        <v>2553</v>
      </c>
      <c r="B1117" s="19" t="s">
        <v>2554</v>
      </c>
      <c r="C1117" s="20" t="s">
        <v>2555</v>
      </c>
      <c r="D1117" s="36" t="s">
        <v>28</v>
      </c>
      <c r="E1117" s="37" t="s">
        <v>3283</v>
      </c>
      <c r="F1117" s="43">
        <v>288.42</v>
      </c>
      <c r="G1117" s="100">
        <f t="shared" si="17"/>
        <v>288.42</v>
      </c>
      <c r="H1117" s="101"/>
      <c r="I1117" s="100">
        <f>G1117*H1117</f>
        <v>0</v>
      </c>
      <c r="J1117" s="39" t="s">
        <v>3336</v>
      </c>
      <c r="K1117" s="40" t="s">
        <v>41</v>
      </c>
      <c r="L1117" s="41"/>
      <c r="M1117" s="42" t="str">
        <f>HYPERLINK("https://catalog.onliner.by/xmaslights/neonnight/nn303502", "https://catalog.onliner.by/xmaslights/neonnight/nn303502")</f>
        <v>https://catalog.onliner.by/xmaslights/neonnight/nn303502</v>
      </c>
      <c r="N1117" s="42" t="str">
        <f>HYPERLINK("https://pronto.by/catalog/product/303-502.html", "https://pronto.by/catalog/product/303-502.html")</f>
        <v>https://pronto.by/catalog/product/303-502.html</v>
      </c>
    </row>
    <row r="1118" spans="1:14" customFormat="1" ht="82.8">
      <c r="A1118" s="35" t="s">
        <v>2556</v>
      </c>
      <c r="B1118" s="19" t="s">
        <v>2557</v>
      </c>
      <c r="C1118" s="20" t="s">
        <v>2558</v>
      </c>
      <c r="D1118" s="36" t="s">
        <v>28</v>
      </c>
      <c r="E1118" s="37" t="s">
        <v>3273</v>
      </c>
      <c r="F1118" s="43">
        <v>379.5</v>
      </c>
      <c r="G1118" s="100">
        <f t="shared" si="17"/>
        <v>379.5</v>
      </c>
      <c r="H1118" s="101"/>
      <c r="I1118" s="100">
        <f>G1118*H1118</f>
        <v>0</v>
      </c>
      <c r="J1118" s="39" t="s">
        <v>3336</v>
      </c>
      <c r="K1118" s="40" t="s">
        <v>41</v>
      </c>
      <c r="L1118" s="41" t="s">
        <v>4063</v>
      </c>
      <c r="M1118" s="42" t="str">
        <f>HYPERLINK("https://catalog.onliner.by/xmaslights/neonnight/nn303589", "https://catalog.onliner.by/xmaslights/neonnight/nn303589")</f>
        <v>https://catalog.onliner.by/xmaslights/neonnight/nn303589</v>
      </c>
      <c r="N1118" s="42" t="str">
        <f>HYPERLINK("https://pronto.by/catalog/product/303-589.html", "https://pronto.by/catalog/product/303-589.html")</f>
        <v>https://pronto.by/catalog/product/303-589.html</v>
      </c>
    </row>
    <row r="1119" spans="1:14" customFormat="1" ht="69">
      <c r="A1119" s="35" t="s">
        <v>2559</v>
      </c>
      <c r="B1119" s="19" t="s">
        <v>2560</v>
      </c>
      <c r="C1119" s="20" t="s">
        <v>2561</v>
      </c>
      <c r="D1119" s="36" t="s">
        <v>28</v>
      </c>
      <c r="E1119" s="37" t="s">
        <v>3273</v>
      </c>
      <c r="F1119" s="43">
        <v>240.6</v>
      </c>
      <c r="G1119" s="100">
        <f t="shared" si="17"/>
        <v>240.6</v>
      </c>
      <c r="H1119" s="101"/>
      <c r="I1119" s="100">
        <f>G1119*H1119</f>
        <v>0</v>
      </c>
      <c r="J1119" s="39" t="s">
        <v>3336</v>
      </c>
      <c r="K1119" s="40" t="s">
        <v>69</v>
      </c>
      <c r="L1119" s="41" t="s">
        <v>4064</v>
      </c>
      <c r="M1119" s="42" t="str">
        <f>HYPERLINK("https://catalog.onliner.by/xmaslights/neonnight/nn303519", "https://catalog.onliner.by/xmaslights/neonnight/nn303519")</f>
        <v>https://catalog.onliner.by/xmaslights/neonnight/nn303519</v>
      </c>
      <c r="N1119" s="42" t="str">
        <f>HYPERLINK("https://pronto.by/catalog/product/303-519.html", "https://pronto.by/catalog/product/303-519.html")</f>
        <v>https://pronto.by/catalog/product/303-519.html</v>
      </c>
    </row>
    <row r="1120" spans="1:14" customFormat="1" ht="69">
      <c r="A1120" s="35" t="s">
        <v>2562</v>
      </c>
      <c r="B1120" s="19" t="s">
        <v>2563</v>
      </c>
      <c r="C1120" s="20" t="s">
        <v>2564</v>
      </c>
      <c r="D1120" s="36" t="s">
        <v>28</v>
      </c>
      <c r="E1120" s="37" t="s">
        <v>3273</v>
      </c>
      <c r="F1120" s="43">
        <v>204.29999999999998</v>
      </c>
      <c r="G1120" s="100">
        <f t="shared" si="17"/>
        <v>204.3</v>
      </c>
      <c r="H1120" s="101"/>
      <c r="I1120" s="100">
        <f>G1120*H1120</f>
        <v>0</v>
      </c>
      <c r="J1120" s="39" t="s">
        <v>3336</v>
      </c>
      <c r="K1120" s="40" t="s">
        <v>69</v>
      </c>
      <c r="L1120" s="41"/>
      <c r="M1120" s="42" t="str">
        <f>HYPERLINK("https://catalog.onliner.by/xmaslights/neonnight/303515", "https://catalog.onliner.by/xmaslights/neonnight/303515")</f>
        <v>https://catalog.onliner.by/xmaslights/neonnight/303515</v>
      </c>
      <c r="N1120" s="42" t="str">
        <f>HYPERLINK("https://pronto.by/catalog/product/303-515.html", "https://pronto.by/catalog/product/303-515.html")</f>
        <v>https://pronto.by/catalog/product/303-515.html</v>
      </c>
    </row>
    <row r="1121" spans="1:14" customFormat="1" ht="69">
      <c r="A1121" s="35" t="s">
        <v>2565</v>
      </c>
      <c r="B1121" s="19" t="s">
        <v>2566</v>
      </c>
      <c r="C1121" s="20" t="s">
        <v>2567</v>
      </c>
      <c r="D1121" s="36" t="s">
        <v>28</v>
      </c>
      <c r="E1121" s="37" t="s">
        <v>3283</v>
      </c>
      <c r="F1121" s="43">
        <v>280.74</v>
      </c>
      <c r="G1121" s="100">
        <f t="shared" si="17"/>
        <v>280.74</v>
      </c>
      <c r="H1121" s="101"/>
      <c r="I1121" s="100">
        <f>G1121*H1121</f>
        <v>0</v>
      </c>
      <c r="J1121" s="39" t="s">
        <v>3336</v>
      </c>
      <c r="K1121" s="40" t="s">
        <v>69</v>
      </c>
      <c r="L1121" s="41" t="s">
        <v>4065</v>
      </c>
      <c r="M1121" s="42" t="str">
        <f>HYPERLINK("https://catalog.onliner.by/xmaslights/neonnight/nn303579", "https://catalog.onliner.by/xmaslights/neonnight/nn303579")</f>
        <v>https://catalog.onliner.by/xmaslights/neonnight/nn303579</v>
      </c>
      <c r="N1121" s="42" t="str">
        <f>HYPERLINK("https://pronto.by/catalog/product/303-579.html", "https://pronto.by/catalog/product/303-579.html")</f>
        <v>https://pronto.by/catalog/product/303-579.html</v>
      </c>
    </row>
    <row r="1122" spans="1:14" customFormat="1" ht="15.6">
      <c r="A1122" s="81" t="s">
        <v>4066</v>
      </c>
      <c r="B1122" s="67"/>
      <c r="C1122" s="67"/>
      <c r="D1122" s="32"/>
      <c r="E1122" s="32"/>
      <c r="F1122" s="32"/>
      <c r="G1122" s="52"/>
      <c r="H1122" s="52"/>
      <c r="I1122" s="52"/>
      <c r="J1122" s="32"/>
      <c r="K1122" s="32"/>
      <c r="L1122" s="33"/>
      <c r="M1122" s="33"/>
      <c r="N1122" s="34"/>
    </row>
    <row r="1123" spans="1:14" customFormat="1" ht="82.8">
      <c r="A1123" s="35" t="s">
        <v>2568</v>
      </c>
      <c r="B1123" s="19" t="s">
        <v>2569</v>
      </c>
      <c r="C1123" s="20" t="s">
        <v>2570</v>
      </c>
      <c r="D1123" s="36" t="s">
        <v>28</v>
      </c>
      <c r="E1123" s="37" t="s">
        <v>3273</v>
      </c>
      <c r="F1123" s="43">
        <v>279.95999999999998</v>
      </c>
      <c r="G1123" s="100">
        <f t="shared" si="17"/>
        <v>279.95999999999998</v>
      </c>
      <c r="H1123" s="101"/>
      <c r="I1123" s="100">
        <f>G1123*H1123</f>
        <v>0</v>
      </c>
      <c r="J1123" s="39" t="s">
        <v>4067</v>
      </c>
      <c r="K1123" s="40" t="s">
        <v>69</v>
      </c>
      <c r="L1123" s="41" t="s">
        <v>4068</v>
      </c>
      <c r="M1123" s="42" t="str">
        <f>HYPERLINK("https://catalog.onliner.by/xmaslights/neonnight/303599", "https://catalog.onliner.by/xmaslights/neonnight/303599")</f>
        <v>https://catalog.onliner.by/xmaslights/neonnight/303599</v>
      </c>
      <c r="N1123" s="42" t="str">
        <f>HYPERLINK("https://pronto.by/catalog/product/303-599.html", "https://pronto.by/catalog/product/303-599.html")</f>
        <v>https://pronto.by/catalog/product/303-599.html</v>
      </c>
    </row>
    <row r="1124" spans="1:14" customFormat="1" ht="82.8">
      <c r="A1124" s="35" t="s">
        <v>2571</v>
      </c>
      <c r="B1124" s="19" t="s">
        <v>2572</v>
      </c>
      <c r="C1124" s="20" t="s">
        <v>2573</v>
      </c>
      <c r="D1124" s="36" t="s">
        <v>28</v>
      </c>
      <c r="E1124" s="37" t="s">
        <v>3273</v>
      </c>
      <c r="F1124" s="43">
        <v>239.76</v>
      </c>
      <c r="G1124" s="100">
        <f t="shared" si="17"/>
        <v>239.76</v>
      </c>
      <c r="H1124" s="101"/>
      <c r="I1124" s="100">
        <f>G1124*H1124</f>
        <v>0</v>
      </c>
      <c r="J1124" s="39" t="s">
        <v>4067</v>
      </c>
      <c r="K1124" s="40" t="s">
        <v>69</v>
      </c>
      <c r="L1124" s="41"/>
      <c r="M1124" s="42" t="str">
        <f>HYPERLINK("https://catalog.onliner.by/xmaslights/neonnight/3035093", "https://catalog.onliner.by/xmaslights/neonnight/3035093")</f>
        <v>https://catalog.onliner.by/xmaslights/neonnight/3035093</v>
      </c>
      <c r="N1124" s="42" t="str">
        <f>HYPERLINK("https://pronto.by/catalog/product/303-509-3.html", "https://pronto.by/catalog/product/303-509-3.html")</f>
        <v>https://pronto.by/catalog/product/303-509-3.html</v>
      </c>
    </row>
    <row r="1125" spans="1:14" customFormat="1" ht="82.8">
      <c r="A1125" s="35" t="s">
        <v>2574</v>
      </c>
      <c r="B1125" s="19" t="s">
        <v>2575</v>
      </c>
      <c r="C1125" s="20" t="s">
        <v>2576</v>
      </c>
      <c r="D1125" s="36" t="s">
        <v>28</v>
      </c>
      <c r="E1125" s="37" t="s">
        <v>3273</v>
      </c>
      <c r="F1125" s="43">
        <v>218.7</v>
      </c>
      <c r="G1125" s="100">
        <f t="shared" si="17"/>
        <v>218.7</v>
      </c>
      <c r="H1125" s="101"/>
      <c r="I1125" s="100">
        <f>G1125*H1125</f>
        <v>0</v>
      </c>
      <c r="J1125" s="39" t="s">
        <v>4067</v>
      </c>
      <c r="K1125" s="40" t="s">
        <v>69</v>
      </c>
      <c r="L1125" s="41"/>
      <c r="M1125" s="42" t="str">
        <f>HYPERLINK("https://catalog.onliner.by/xmaslights/neonnight/303595", "https://catalog.onliner.by/xmaslights/neonnight/303595")</f>
        <v>https://catalog.onliner.by/xmaslights/neonnight/303595</v>
      </c>
      <c r="N1125" s="42" t="str">
        <f>HYPERLINK("https://pronto.by/catalog/product/303-595.html", "https://pronto.by/catalog/product/303-595.html")</f>
        <v>https://pronto.by/catalog/product/303-595.html</v>
      </c>
    </row>
    <row r="1126" spans="1:14" customFormat="1" ht="82.8">
      <c r="A1126" s="35" t="s">
        <v>2577</v>
      </c>
      <c r="B1126" s="19" t="s">
        <v>2578</v>
      </c>
      <c r="C1126" s="20" t="s">
        <v>4069</v>
      </c>
      <c r="D1126" s="36" t="s">
        <v>28</v>
      </c>
      <c r="E1126" s="37" t="s">
        <v>3307</v>
      </c>
      <c r="F1126" s="43">
        <v>206.46</v>
      </c>
      <c r="G1126" s="100">
        <f t="shared" si="17"/>
        <v>206.46</v>
      </c>
      <c r="H1126" s="101"/>
      <c r="I1126" s="100">
        <f>G1126*H1126</f>
        <v>0</v>
      </c>
      <c r="J1126" s="39" t="s">
        <v>4067</v>
      </c>
      <c r="K1126" s="40" t="s">
        <v>69</v>
      </c>
      <c r="L1126" s="41"/>
      <c r="M1126" s="42" t="str">
        <f>HYPERLINK("https://catalog.onliner.by/xmaslights/neonnight/neon303596", "https://catalog.onliner.by/xmaslights/neonnight/neon303596")</f>
        <v>https://catalog.onliner.by/xmaslights/neonnight/neon303596</v>
      </c>
      <c r="N1126" s="42" t="str">
        <f>HYPERLINK("https://pronto.by/catalog/prazdnichnaya-svetotehnika/professional-professionalnye-proekty/girlyanda-nit/multishariki-kauchuk/303-596.html", "https://pronto.by/catalog/prazdnichnaya-svetotehnika/professional-professionalnye-proekty/girlyanda-nit/multishariki-kauchuk/303-596.html")</f>
        <v>https://pronto.by/catalog/prazdnichnaya-svetotehnika/professional-professionalnye-proekty/girlyanda-nit/multishariki-kauchuk/303-596.html</v>
      </c>
    </row>
    <row r="1127" spans="1:14" customFormat="1" ht="71.400000000000006">
      <c r="A1127" s="35" t="s">
        <v>2579</v>
      </c>
      <c r="B1127" s="19" t="s">
        <v>2580</v>
      </c>
      <c r="C1127" s="20" t="s">
        <v>2581</v>
      </c>
      <c r="D1127" s="36" t="s">
        <v>28</v>
      </c>
      <c r="E1127" s="37" t="s">
        <v>3273</v>
      </c>
      <c r="F1127" s="43">
        <v>265.32</v>
      </c>
      <c r="G1127" s="100">
        <f t="shared" si="17"/>
        <v>265.32</v>
      </c>
      <c r="H1127" s="101"/>
      <c r="I1127" s="100">
        <f>G1127*H1127</f>
        <v>0</v>
      </c>
      <c r="J1127" s="39" t="s">
        <v>4067</v>
      </c>
      <c r="K1127" s="40" t="s">
        <v>41</v>
      </c>
      <c r="L1127" s="41"/>
      <c r="M1127" s="42" t="str">
        <f>HYPERLINK("https://catalog.onliner.by/xmaslights/neonnight/neon303679", "https://catalog.onliner.by/xmaslights/neonnight/neon303679")</f>
        <v>https://catalog.onliner.by/xmaslights/neonnight/neon303679</v>
      </c>
      <c r="N1127" s="42" t="str">
        <f>HYPERLINK("https://pronto.by/catalog/prazdnichnaya-svetotehnika/professional-professionalnye-proekty/girlyanda-nit/multishariki-kauchuk/303-679.html", "https://pronto.by/catalog/prazdnichnaya-svetotehnika/professional-professionalnye-proekty/girlyanda-nit/multishariki-kauchuk/303-679.html")</f>
        <v>https://pronto.by/catalog/prazdnichnaya-svetotehnika/professional-professionalnye-proekty/girlyanda-nit/multishariki-kauchuk/303-679.html</v>
      </c>
    </row>
    <row r="1128" spans="1:14" customFormat="1" ht="15.6">
      <c r="A1128" s="81" t="s">
        <v>4070</v>
      </c>
      <c r="B1128" s="67"/>
      <c r="C1128" s="67"/>
      <c r="D1128" s="32"/>
      <c r="E1128" s="32"/>
      <c r="F1128" s="32"/>
      <c r="G1128" s="52"/>
      <c r="H1128" s="52"/>
      <c r="I1128" s="52"/>
      <c r="J1128" s="32"/>
      <c r="K1128" s="32"/>
      <c r="L1128" s="33"/>
      <c r="M1128" s="33"/>
      <c r="N1128" s="34"/>
    </row>
    <row r="1129" spans="1:14" customFormat="1" ht="69">
      <c r="A1129" s="35" t="s">
        <v>2582</v>
      </c>
      <c r="B1129" s="19" t="s">
        <v>2583</v>
      </c>
      <c r="C1129" s="20" t="s">
        <v>4071</v>
      </c>
      <c r="D1129" s="36" t="s">
        <v>28</v>
      </c>
      <c r="E1129" s="37" t="s">
        <v>3283</v>
      </c>
      <c r="F1129" s="43">
        <v>102.24</v>
      </c>
      <c r="G1129" s="100">
        <f t="shared" si="17"/>
        <v>102.24</v>
      </c>
      <c r="H1129" s="101"/>
      <c r="I1129" s="100">
        <f>G1129*H1129</f>
        <v>0</v>
      </c>
      <c r="J1129" s="39" t="s">
        <v>3336</v>
      </c>
      <c r="K1129" s="40" t="s">
        <v>69</v>
      </c>
      <c r="L1129" s="41"/>
      <c r="M1129" s="42" t="str">
        <f>HYPERLINK("https://catalog.onliner.by/xmaslights/neonnight/nn303135", "https://catalog.onliner.by/xmaslights/neonnight/nn303135")</f>
        <v>https://catalog.onliner.by/xmaslights/neonnight/nn303135</v>
      </c>
      <c r="N1129" s="42" t="str">
        <f>HYPERLINK("https://pronto.by/catalog/product/303-135.html", "https://pronto.by/catalog/product/303-135.html")</f>
        <v>https://pronto.by/catalog/product/303-135.html</v>
      </c>
    </row>
    <row r="1130" spans="1:14" customFormat="1" ht="82.8">
      <c r="A1130" s="35" t="s">
        <v>2584</v>
      </c>
      <c r="B1130" s="19" t="s">
        <v>2585</v>
      </c>
      <c r="C1130" s="20" t="s">
        <v>4072</v>
      </c>
      <c r="D1130" s="36" t="s">
        <v>28</v>
      </c>
      <c r="E1130" s="37" t="s">
        <v>3273</v>
      </c>
      <c r="F1130" s="43">
        <v>102.24</v>
      </c>
      <c r="G1130" s="100">
        <f t="shared" si="17"/>
        <v>102.24</v>
      </c>
      <c r="H1130" s="101"/>
      <c r="I1130" s="100">
        <f>G1130*H1130</f>
        <v>0</v>
      </c>
      <c r="J1130" s="39" t="s">
        <v>3336</v>
      </c>
      <c r="K1130" s="40" t="s">
        <v>69</v>
      </c>
      <c r="L1130" s="41"/>
      <c r="M1130" s="42" t="str">
        <f>HYPERLINK("https://catalog.onliner.by/xmaslights/neonnight/nn303139", "https://catalog.onliner.by/xmaslights/neonnight/nn303139")</f>
        <v>https://catalog.onliner.by/xmaslights/neonnight/nn303139</v>
      </c>
      <c r="N1130" s="42" t="str">
        <f>HYPERLINK("https://pronto.by/catalog/product/303-139.html", "https://pronto.by/catalog/product/303-139.html")</f>
        <v>https://pronto.by/catalog/product/303-139.html</v>
      </c>
    </row>
    <row r="1131" spans="1:14" customFormat="1" ht="82.8">
      <c r="A1131" s="35" t="s">
        <v>2586</v>
      </c>
      <c r="B1131" s="19" t="s">
        <v>2587</v>
      </c>
      <c r="C1131" s="20" t="s">
        <v>4073</v>
      </c>
      <c r="D1131" s="36" t="s">
        <v>28</v>
      </c>
      <c r="E1131" s="37" t="s">
        <v>3273</v>
      </c>
      <c r="F1131" s="43">
        <v>102.24</v>
      </c>
      <c r="G1131" s="100">
        <f t="shared" si="17"/>
        <v>102.24</v>
      </c>
      <c r="H1131" s="101"/>
      <c r="I1131" s="100">
        <f>G1131*H1131</f>
        <v>0</v>
      </c>
      <c r="J1131" s="39" t="s">
        <v>3336</v>
      </c>
      <c r="K1131" s="40" t="s">
        <v>69</v>
      </c>
      <c r="L1131" s="41"/>
      <c r="M1131" s="42" t="str">
        <f>HYPERLINK("https://catalog.onliner.by/xmaslights/neonnight/nn303136", "https://catalog.onliner.by/xmaslights/neonnight/nn303136")</f>
        <v>https://catalog.onliner.by/xmaslights/neonnight/nn303136</v>
      </c>
      <c r="N1131" s="42" t="str">
        <f>HYPERLINK("https://pronto.by/catalog/product/303-136.html", "https://pronto.by/catalog/product/303-136.html")</f>
        <v>https://pronto.by/catalog/product/303-136.html</v>
      </c>
    </row>
    <row r="1132" spans="1:14" customFormat="1" ht="69">
      <c r="A1132" s="35" t="s">
        <v>2588</v>
      </c>
      <c r="B1132" s="19" t="s">
        <v>2589</v>
      </c>
      <c r="C1132" s="20" t="s">
        <v>4074</v>
      </c>
      <c r="D1132" s="36" t="s">
        <v>28</v>
      </c>
      <c r="E1132" s="37" t="s">
        <v>3283</v>
      </c>
      <c r="F1132" s="43">
        <v>75.3</v>
      </c>
      <c r="G1132" s="100">
        <f t="shared" si="17"/>
        <v>75.3</v>
      </c>
      <c r="H1132" s="101"/>
      <c r="I1132" s="100">
        <f>G1132*H1132</f>
        <v>0</v>
      </c>
      <c r="J1132" s="39" t="s">
        <v>3336</v>
      </c>
      <c r="K1132" s="40" t="s">
        <v>41</v>
      </c>
      <c r="L1132" s="41"/>
      <c r="M1132" s="42" t="str">
        <f>HYPERLINK("https://catalog.onliner.by/xmaslights/neonnight/nn303131", "https://catalog.onliner.by/xmaslights/neonnight/nn303131")</f>
        <v>https://catalog.onliner.by/xmaslights/neonnight/nn303131</v>
      </c>
      <c r="N1132" s="42" t="str">
        <f>HYPERLINK("https://pronto.by/catalog/product/303-131.html", "https://pronto.by/catalog/product/303-131.html")</f>
        <v>https://pronto.by/catalog/product/303-131.html</v>
      </c>
    </row>
    <row r="1133" spans="1:14" customFormat="1" ht="69">
      <c r="A1133" s="35" t="s">
        <v>2590</v>
      </c>
      <c r="B1133" s="19" t="s">
        <v>2591</v>
      </c>
      <c r="C1133" s="20" t="s">
        <v>2592</v>
      </c>
      <c r="D1133" s="36" t="s">
        <v>28</v>
      </c>
      <c r="E1133" s="37" t="s">
        <v>3283</v>
      </c>
      <c r="F1133" s="43">
        <v>91.98</v>
      </c>
      <c r="G1133" s="100">
        <f t="shared" si="17"/>
        <v>91.98</v>
      </c>
      <c r="H1133" s="101"/>
      <c r="I1133" s="100">
        <f>G1133*H1133</f>
        <v>0</v>
      </c>
      <c r="J1133" s="39" t="s">
        <v>3336</v>
      </c>
      <c r="K1133" s="40" t="s">
        <v>41</v>
      </c>
      <c r="L1133" s="41"/>
      <c r="M1133" s="42" t="str">
        <f>HYPERLINK("https://catalog.onliner.by/xmaslights/neonnight/nn303132", "https://catalog.onliner.by/xmaslights/neonnight/nn303132")</f>
        <v>https://catalog.onliner.by/xmaslights/neonnight/nn303132</v>
      </c>
      <c r="N1133" s="42" t="str">
        <f>HYPERLINK("https://pronto.by/catalog/product/303-132.html", "https://pronto.by/catalog/product/303-132.html")</f>
        <v>https://pronto.by/catalog/product/303-132.html</v>
      </c>
    </row>
    <row r="1134" spans="1:14" customFormat="1" ht="69">
      <c r="A1134" s="35" t="s">
        <v>2593</v>
      </c>
      <c r="B1134" s="19" t="s">
        <v>2594</v>
      </c>
      <c r="C1134" s="20" t="s">
        <v>4075</v>
      </c>
      <c r="D1134" s="36" t="s">
        <v>28</v>
      </c>
      <c r="E1134" s="37" t="s">
        <v>3283</v>
      </c>
      <c r="F1134" s="43">
        <v>102.24</v>
      </c>
      <c r="G1134" s="100">
        <f t="shared" si="17"/>
        <v>102.24</v>
      </c>
      <c r="H1134" s="101"/>
      <c r="I1134" s="100">
        <f>G1134*H1134</f>
        <v>0</v>
      </c>
      <c r="J1134" s="39" t="s">
        <v>3336</v>
      </c>
      <c r="K1134" s="40" t="s">
        <v>41</v>
      </c>
      <c r="L1134" s="41"/>
      <c r="M1134" s="42" t="str">
        <f>HYPERLINK("https://catalog.onliner.by/xmaslights/neonnight/nn303133", "https://catalog.onliner.by/xmaslights/neonnight/nn303133")</f>
        <v>https://catalog.onliner.by/xmaslights/neonnight/nn303133</v>
      </c>
      <c r="N1134" s="42" t="str">
        <f>HYPERLINK("https://pronto.by/catalog/product/303-133.html", "https://pronto.by/catalog/product/303-133.html")</f>
        <v>https://pronto.by/catalog/product/303-133.html</v>
      </c>
    </row>
    <row r="1135" spans="1:14" customFormat="1" ht="69">
      <c r="A1135" s="35" t="s">
        <v>2595</v>
      </c>
      <c r="B1135" s="19" t="s">
        <v>2596</v>
      </c>
      <c r="C1135" s="20" t="s">
        <v>4076</v>
      </c>
      <c r="D1135" s="36" t="s">
        <v>28</v>
      </c>
      <c r="E1135" s="37" t="s">
        <v>3283</v>
      </c>
      <c r="F1135" s="43">
        <v>186.96</v>
      </c>
      <c r="G1135" s="100">
        <f t="shared" si="17"/>
        <v>186.96</v>
      </c>
      <c r="H1135" s="101"/>
      <c r="I1135" s="100">
        <f>G1135*H1135</f>
        <v>0</v>
      </c>
      <c r="J1135" s="39" t="s">
        <v>3336</v>
      </c>
      <c r="K1135" s="40" t="s">
        <v>69</v>
      </c>
      <c r="L1135" s="41"/>
      <c r="M1135" s="42" t="str">
        <f>HYPERLINK("https://catalog.onliner.by/xmaslights/neonnight/nn303145", "https://catalog.onliner.by/xmaslights/neonnight/nn303145")</f>
        <v>https://catalog.onliner.by/xmaslights/neonnight/nn303145</v>
      </c>
      <c r="N1135" s="42" t="str">
        <f>HYPERLINK("https://pronto.by/catalog/product/303-145.html", "https://pronto.by/catalog/product/303-145.html")</f>
        <v>https://pronto.by/catalog/product/303-145.html</v>
      </c>
    </row>
    <row r="1136" spans="1:14" customFormat="1" ht="82.8">
      <c r="A1136" s="35" t="s">
        <v>2597</v>
      </c>
      <c r="B1136" s="19" t="s">
        <v>2598</v>
      </c>
      <c r="C1136" s="20" t="s">
        <v>4077</v>
      </c>
      <c r="D1136" s="36" t="s">
        <v>28</v>
      </c>
      <c r="E1136" s="37" t="s">
        <v>3283</v>
      </c>
      <c r="F1136" s="43">
        <v>186.96</v>
      </c>
      <c r="G1136" s="100">
        <f t="shared" si="17"/>
        <v>186.96</v>
      </c>
      <c r="H1136" s="101"/>
      <c r="I1136" s="100">
        <f>G1136*H1136</f>
        <v>0</v>
      </c>
      <c r="J1136" s="39" t="s">
        <v>3336</v>
      </c>
      <c r="K1136" s="40" t="s">
        <v>69</v>
      </c>
      <c r="L1136" s="41"/>
      <c r="M1136" s="42" t="str">
        <f>HYPERLINK("https://catalog.onliner.by/xmaslights/neonnight/nn303149", "https://catalog.onliner.by/xmaslights/neonnight/nn303149")</f>
        <v>https://catalog.onliner.by/xmaslights/neonnight/nn303149</v>
      </c>
      <c r="N1136" s="42" t="str">
        <f>HYPERLINK("https://pronto.by/catalog/product/303-149.html", "https://pronto.by/catalog/product/303-149.html")</f>
        <v>https://pronto.by/catalog/product/303-149.html</v>
      </c>
    </row>
    <row r="1137" spans="1:14" customFormat="1" ht="82.8">
      <c r="A1137" s="35" t="s">
        <v>2599</v>
      </c>
      <c r="B1137" s="19" t="s">
        <v>2600</v>
      </c>
      <c r="C1137" s="20" t="s">
        <v>4078</v>
      </c>
      <c r="D1137" s="36" t="s">
        <v>28</v>
      </c>
      <c r="E1137" s="37" t="s">
        <v>3283</v>
      </c>
      <c r="F1137" s="43">
        <v>186.96</v>
      </c>
      <c r="G1137" s="100">
        <f t="shared" si="17"/>
        <v>186.96</v>
      </c>
      <c r="H1137" s="101"/>
      <c r="I1137" s="100">
        <f>G1137*H1137</f>
        <v>0</v>
      </c>
      <c r="J1137" s="39" t="s">
        <v>3336</v>
      </c>
      <c r="K1137" s="40" t="s">
        <v>69</v>
      </c>
      <c r="L1137" s="41"/>
      <c r="M1137" s="42" t="str">
        <f>HYPERLINK("https://catalog.onliner.by/xmaslights/neonnight/nn303146", "https://catalog.onliner.by/xmaslights/neonnight/nn303146")</f>
        <v>https://catalog.onliner.by/xmaslights/neonnight/nn303146</v>
      </c>
      <c r="N1137" s="42" t="str">
        <f>HYPERLINK("https://pronto.by/catalog/prazdnichnaya-svetotehnika/professional-professionalnye-proekty/girlyanda-nit/tvinkl-pvh/303-146.html", "https://pronto.by/catalog/prazdnichnaya-svetotehnika/professional-professionalnye-proekty/girlyanda-nit/tvinkl-pvh/303-146.html")</f>
        <v>https://pronto.by/catalog/prazdnichnaya-svetotehnika/professional-professionalnye-proekty/girlyanda-nit/tvinkl-pvh/303-146.html</v>
      </c>
    </row>
    <row r="1138" spans="1:14" customFormat="1" ht="15.6">
      <c r="A1138" s="81" t="s">
        <v>4079</v>
      </c>
      <c r="B1138" s="67"/>
      <c r="C1138" s="67"/>
      <c r="D1138" s="32"/>
      <c r="E1138" s="32"/>
      <c r="F1138" s="32"/>
      <c r="G1138" s="52"/>
      <c r="H1138" s="52"/>
      <c r="I1138" s="52"/>
      <c r="J1138" s="32"/>
      <c r="K1138" s="32"/>
      <c r="L1138" s="33"/>
      <c r="M1138" s="33"/>
      <c r="N1138" s="34"/>
    </row>
    <row r="1139" spans="1:14" customFormat="1" ht="82.8">
      <c r="A1139" s="35" t="s">
        <v>4080</v>
      </c>
      <c r="B1139" s="19" t="s">
        <v>4081</v>
      </c>
      <c r="C1139" s="20" t="s">
        <v>4082</v>
      </c>
      <c r="D1139" s="36" t="s">
        <v>28</v>
      </c>
      <c r="E1139" s="37" t="s">
        <v>3283</v>
      </c>
      <c r="F1139" s="43">
        <v>473.82</v>
      </c>
      <c r="G1139" s="100">
        <f t="shared" si="17"/>
        <v>473.82</v>
      </c>
      <c r="H1139" s="101"/>
      <c r="I1139" s="100">
        <f>G1139*H1139</f>
        <v>0</v>
      </c>
      <c r="J1139" s="39" t="s">
        <v>3664</v>
      </c>
      <c r="K1139" s="40" t="s">
        <v>69</v>
      </c>
      <c r="L1139" s="41"/>
      <c r="M1139" s="42" t="str">
        <f>HYPERLINK("https://catalog.onliner.by/xmaslights/neonnight/nn303325", "https://catalog.onliner.by/xmaslights/neonnight/nn303325")</f>
        <v>https://catalog.onliner.by/xmaslights/neonnight/nn303325</v>
      </c>
      <c r="N1139" s="42" t="str">
        <f>HYPERLINK("https://pronto.by/catalog/product/303-325.html", "https://pronto.by/catalog/product/303-325.html")</f>
        <v>https://pronto.by/catalog/product/303-325.html</v>
      </c>
    </row>
    <row r="1140" spans="1:14" customFormat="1" ht="82.8">
      <c r="A1140" s="35" t="s">
        <v>2601</v>
      </c>
      <c r="B1140" s="19" t="s">
        <v>2602</v>
      </c>
      <c r="C1140" s="20" t="s">
        <v>2603</v>
      </c>
      <c r="D1140" s="36" t="s">
        <v>28</v>
      </c>
      <c r="E1140" s="37" t="s">
        <v>3283</v>
      </c>
      <c r="F1140" s="43">
        <v>519.6</v>
      </c>
      <c r="G1140" s="100">
        <f t="shared" si="17"/>
        <v>519.6</v>
      </c>
      <c r="H1140" s="101"/>
      <c r="I1140" s="100">
        <f>G1140*H1140</f>
        <v>0</v>
      </c>
      <c r="J1140" s="39" t="s">
        <v>3664</v>
      </c>
      <c r="K1140" s="40" t="s">
        <v>69</v>
      </c>
      <c r="L1140" s="41"/>
      <c r="M1140" s="42" t="str">
        <f>HYPERLINK("https://catalog.onliner.by/xmaslights/neonnight/nn303329", "https://catalog.onliner.by/xmaslights/neonnight/nn303329")</f>
        <v>https://catalog.onliner.by/xmaslights/neonnight/nn303329</v>
      </c>
      <c r="N1140" s="42" t="str">
        <f>HYPERLINK("https://pronto.by/catalog/product/303-329.html", "https://pronto.by/catalog/product/303-329.html")</f>
        <v>https://pronto.by/catalog/product/303-329.html</v>
      </c>
    </row>
    <row r="1141" spans="1:14" customFormat="1" ht="82.8">
      <c r="A1141" s="35" t="s">
        <v>2604</v>
      </c>
      <c r="B1141" s="19" t="s">
        <v>2605</v>
      </c>
      <c r="C1141" s="20" t="s">
        <v>2606</v>
      </c>
      <c r="D1141" s="36" t="s">
        <v>28</v>
      </c>
      <c r="E1141" s="37" t="s">
        <v>3283</v>
      </c>
      <c r="F1141" s="43">
        <v>519.6</v>
      </c>
      <c r="G1141" s="100">
        <f t="shared" si="17"/>
        <v>519.6</v>
      </c>
      <c r="H1141" s="101"/>
      <c r="I1141" s="100">
        <f>G1141*H1141</f>
        <v>0</v>
      </c>
      <c r="J1141" s="39" t="s">
        <v>3664</v>
      </c>
      <c r="K1141" s="40" t="s">
        <v>69</v>
      </c>
      <c r="L1141" s="41"/>
      <c r="M1141" s="42" t="str">
        <f>HYPERLINK("https://catalog.onliner.by/xmaslights/neonnight/nn303326", "https://catalog.onliner.by/xmaslights/neonnight/nn303326")</f>
        <v>https://catalog.onliner.by/xmaslights/neonnight/nn303326</v>
      </c>
      <c r="N1141" s="42" t="str">
        <f>HYPERLINK("https://pronto.by/catalog/product/303-326.html", "https://pronto.by/catalog/product/303-326.html")</f>
        <v>https://pronto.by/catalog/product/303-326.html</v>
      </c>
    </row>
    <row r="1142" spans="1:14" customFormat="1" ht="82.8">
      <c r="A1142" s="35" t="s">
        <v>4083</v>
      </c>
      <c r="B1142" s="19" t="s">
        <v>4084</v>
      </c>
      <c r="C1142" s="20" t="s">
        <v>4085</v>
      </c>
      <c r="D1142" s="36" t="s">
        <v>28</v>
      </c>
      <c r="E1142" s="37" t="s">
        <v>3295</v>
      </c>
      <c r="F1142" s="43">
        <v>383.82</v>
      </c>
      <c r="G1142" s="100">
        <f t="shared" si="17"/>
        <v>383.82</v>
      </c>
      <c r="H1142" s="101"/>
      <c r="I1142" s="100">
        <f>G1142*H1142</f>
        <v>0</v>
      </c>
      <c r="J1142" s="39" t="s">
        <v>3664</v>
      </c>
      <c r="K1142" s="40" t="s">
        <v>41</v>
      </c>
      <c r="L1142" s="41"/>
      <c r="M1142" s="42" t="str">
        <f>HYPERLINK("https://catalog.onliner.by/xmaslights/neonnight/nn303321", "https://catalog.onliner.by/xmaslights/neonnight/nn303321")</f>
        <v>https://catalog.onliner.by/xmaslights/neonnight/nn303321</v>
      </c>
      <c r="N1142" s="42" t="str">
        <f>HYPERLINK("https://pronto.by/catalog/product/303-321.html", "https://pronto.by/catalog/product/303-321.html")</f>
        <v>https://pronto.by/catalog/product/303-321.html</v>
      </c>
    </row>
    <row r="1143" spans="1:14" customFormat="1" ht="15.6">
      <c r="A1143" s="81" t="s">
        <v>4086</v>
      </c>
      <c r="B1143" s="67"/>
      <c r="C1143" s="67"/>
      <c r="D1143" s="32"/>
      <c r="E1143" s="32"/>
      <c r="F1143" s="32"/>
      <c r="G1143" s="52"/>
      <c r="H1143" s="52"/>
      <c r="I1143" s="52"/>
      <c r="J1143" s="32"/>
      <c r="K1143" s="32"/>
      <c r="L1143" s="33"/>
      <c r="M1143" s="33"/>
      <c r="N1143" s="34"/>
    </row>
    <row r="1144" spans="1:14" customFormat="1" ht="69">
      <c r="A1144" s="35" t="s">
        <v>2607</v>
      </c>
      <c r="B1144" s="19" t="s">
        <v>2608</v>
      </c>
      <c r="C1144" s="20" t="s">
        <v>2609</v>
      </c>
      <c r="D1144" s="36" t="s">
        <v>28</v>
      </c>
      <c r="E1144" s="37" t="s">
        <v>3291</v>
      </c>
      <c r="F1144" s="43">
        <v>226.92000000000002</v>
      </c>
      <c r="G1144" s="100">
        <f t="shared" si="17"/>
        <v>226.92</v>
      </c>
      <c r="H1144" s="101"/>
      <c r="I1144" s="100">
        <f>G1144*H1144</f>
        <v>0</v>
      </c>
      <c r="J1144" s="39" t="s">
        <v>3336</v>
      </c>
      <c r="K1144" s="40" t="s">
        <v>41</v>
      </c>
      <c r="L1144" s="41"/>
      <c r="M1144" s="42" t="str">
        <f>HYPERLINK("https://catalog.onliner.by/xmaslights/neonnight/nn303635", "https://catalog.onliner.by/xmaslights/neonnight/nn303635")</f>
        <v>https://catalog.onliner.by/xmaslights/neonnight/nn303635</v>
      </c>
      <c r="N1144" s="42" t="str">
        <f>HYPERLINK("https://pronto.by/catalog/product/303-635.html", "https://pronto.by/catalog/product/303-635.html")</f>
        <v>https://pronto.by/catalog/product/303-635.html</v>
      </c>
    </row>
    <row r="1145" spans="1:14" customFormat="1" ht="82.8">
      <c r="A1145" s="35" t="s">
        <v>2610</v>
      </c>
      <c r="B1145" s="19" t="s">
        <v>2611</v>
      </c>
      <c r="C1145" s="20" t="s">
        <v>2612</v>
      </c>
      <c r="D1145" s="36" t="s">
        <v>28</v>
      </c>
      <c r="E1145" s="37" t="s">
        <v>3283</v>
      </c>
      <c r="F1145" s="43">
        <v>226.92000000000002</v>
      </c>
      <c r="G1145" s="100">
        <f t="shared" si="17"/>
        <v>226.92</v>
      </c>
      <c r="H1145" s="101"/>
      <c r="I1145" s="100">
        <f>G1145*H1145</f>
        <v>0</v>
      </c>
      <c r="J1145" s="39" t="s">
        <v>3336</v>
      </c>
      <c r="K1145" s="40" t="s">
        <v>69</v>
      </c>
      <c r="L1145" s="41"/>
      <c r="M1145" s="42" t="str">
        <f>HYPERLINK("https://catalog.onliner.by/xmaslights/neonnight/nn303636", "https://catalog.onliner.by/xmaslights/neonnight/nn303636")</f>
        <v>https://catalog.onliner.by/xmaslights/neonnight/nn303636</v>
      </c>
      <c r="N1145" s="42" t="str">
        <f>HYPERLINK("https://pronto.by/catalog/product/303-636.html", "https://pronto.by/catalog/product/303-636.html")</f>
        <v>https://pronto.by/catalog/product/303-636.html</v>
      </c>
    </row>
    <row r="1146" spans="1:14" customFormat="1" ht="69">
      <c r="A1146" s="35" t="s">
        <v>2613</v>
      </c>
      <c r="B1146" s="19" t="s">
        <v>2614</v>
      </c>
      <c r="C1146" s="20" t="s">
        <v>2615</v>
      </c>
      <c r="D1146" s="36" t="s">
        <v>28</v>
      </c>
      <c r="E1146" s="37" t="s">
        <v>3291</v>
      </c>
      <c r="F1146" s="43">
        <v>314.94</v>
      </c>
      <c r="G1146" s="100">
        <f t="shared" si="17"/>
        <v>314.94</v>
      </c>
      <c r="H1146" s="101"/>
      <c r="I1146" s="100">
        <f>G1146*H1146</f>
        <v>0</v>
      </c>
      <c r="J1146" s="39" t="s">
        <v>3336</v>
      </c>
      <c r="K1146" s="40" t="s">
        <v>41</v>
      </c>
      <c r="L1146" s="41"/>
      <c r="M1146" s="42" t="str">
        <f>HYPERLINK("https://catalog.onliner.by/xmaslights/neonnight/nn303645", "https://catalog.onliner.by/xmaslights/neonnight/nn303645")</f>
        <v>https://catalog.onliner.by/xmaslights/neonnight/nn303645</v>
      </c>
      <c r="N1146" s="42" t="str">
        <f>HYPERLINK("https://pronto.by/catalog/product/303-645.html", "https://pronto.by/catalog/product/303-645.html")</f>
        <v>https://pronto.by/catalog/product/303-645.html</v>
      </c>
    </row>
    <row r="1147" spans="1:14" customFormat="1" ht="82.8">
      <c r="A1147" s="35" t="s">
        <v>4087</v>
      </c>
      <c r="B1147" s="19" t="s">
        <v>4088</v>
      </c>
      <c r="C1147" s="20" t="s">
        <v>4089</v>
      </c>
      <c r="D1147" s="36" t="s">
        <v>28</v>
      </c>
      <c r="E1147" s="37" t="s">
        <v>3295</v>
      </c>
      <c r="F1147" s="43">
        <v>432</v>
      </c>
      <c r="G1147" s="100">
        <f t="shared" si="17"/>
        <v>432</v>
      </c>
      <c r="H1147" s="101"/>
      <c r="I1147" s="100">
        <f>G1147*H1147</f>
        <v>0</v>
      </c>
      <c r="J1147" s="39" t="s">
        <v>3336</v>
      </c>
      <c r="K1147" s="40" t="s">
        <v>41</v>
      </c>
      <c r="L1147" s="41"/>
      <c r="M1147" s="42" t="str">
        <f>HYPERLINK("https://catalog.onliner.by/xmaslights/neonnight/nn303646", "https://catalog.onliner.by/xmaslights/neonnight/nn303646")</f>
        <v>https://catalog.onliner.by/xmaslights/neonnight/nn303646</v>
      </c>
      <c r="N1147" s="42" t="str">
        <f>HYPERLINK("https://pronto.by/catalog/product/303-646.html", "https://pronto.by/catalog/product/303-646.html")</f>
        <v>https://pronto.by/catalog/product/303-646.html</v>
      </c>
    </row>
    <row r="1148" spans="1:14" customFormat="1" ht="15.6">
      <c r="A1148" s="81" t="s">
        <v>4090</v>
      </c>
      <c r="B1148" s="67"/>
      <c r="C1148" s="67"/>
      <c r="D1148" s="32"/>
      <c r="E1148" s="32"/>
      <c r="F1148" s="32"/>
      <c r="G1148" s="52"/>
      <c r="H1148" s="52"/>
      <c r="I1148" s="52"/>
      <c r="J1148" s="32"/>
      <c r="K1148" s="32"/>
      <c r="L1148" s="33"/>
      <c r="M1148" s="33"/>
      <c r="N1148" s="34"/>
    </row>
    <row r="1149" spans="1:14" customFormat="1" ht="69">
      <c r="A1149" s="35" t="s">
        <v>2616</v>
      </c>
      <c r="B1149" s="19" t="s">
        <v>2617</v>
      </c>
      <c r="C1149" s="20" t="s">
        <v>2618</v>
      </c>
      <c r="D1149" s="36" t="s">
        <v>28</v>
      </c>
      <c r="E1149" s="37" t="s">
        <v>3273</v>
      </c>
      <c r="F1149" s="43">
        <v>264.77999999999997</v>
      </c>
      <c r="G1149" s="100">
        <f t="shared" si="17"/>
        <v>264.77999999999997</v>
      </c>
      <c r="H1149" s="101"/>
      <c r="I1149" s="100">
        <f>G1149*H1149</f>
        <v>0</v>
      </c>
      <c r="J1149" s="39" t="s">
        <v>3664</v>
      </c>
      <c r="K1149" s="40" t="s">
        <v>41</v>
      </c>
      <c r="L1149" s="41"/>
      <c r="M1149" s="42" t="str">
        <f>HYPERLINK("https://catalog.onliner.by/xmaslights/neonnight/nn315255", "https://catalog.onliner.by/xmaslights/neonnight/nn315255")</f>
        <v>https://catalog.onliner.by/xmaslights/neonnight/nn315255</v>
      </c>
      <c r="N1149" s="42" t="str">
        <f>HYPERLINK("https://pronto.by/catalog/product/315-255.html", "https://pronto.by/catalog/product/315-255.html")</f>
        <v>https://pronto.by/catalog/product/315-255.html</v>
      </c>
    </row>
    <row r="1150" spans="1:14" customFormat="1" ht="69">
      <c r="A1150" s="35" t="s">
        <v>2619</v>
      </c>
      <c r="B1150" s="19" t="s">
        <v>2620</v>
      </c>
      <c r="C1150" s="20" t="s">
        <v>2621</v>
      </c>
      <c r="D1150" s="36" t="s">
        <v>28</v>
      </c>
      <c r="E1150" s="37" t="s">
        <v>3273</v>
      </c>
      <c r="F1150" s="43">
        <v>264.77999999999997</v>
      </c>
      <c r="G1150" s="100">
        <f t="shared" si="17"/>
        <v>264.77999999999997</v>
      </c>
      <c r="H1150" s="101"/>
      <c r="I1150" s="100">
        <f>G1150*H1150</f>
        <v>0</v>
      </c>
      <c r="J1150" s="39" t="s">
        <v>3664</v>
      </c>
      <c r="K1150" s="40" t="s">
        <v>69</v>
      </c>
      <c r="L1150" s="41"/>
      <c r="M1150" s="42" t="str">
        <f>HYPERLINK("https://catalog.onliner.by/xmaslights/neonnight/nn315256", "https://catalog.onliner.by/xmaslights/neonnight/nn315256")</f>
        <v>https://catalog.onliner.by/xmaslights/neonnight/nn315256</v>
      </c>
      <c r="N1150" s="42" t="str">
        <f>HYPERLINK("https://pronto.by/catalog/product/315-256.html", "https://pronto.by/catalog/product/315-256.html")</f>
        <v>https://pronto.by/catalog/product/315-256.html</v>
      </c>
    </row>
    <row r="1151" spans="1:14" customFormat="1" ht="69">
      <c r="A1151" s="35" t="s">
        <v>2622</v>
      </c>
      <c r="B1151" s="19" t="s">
        <v>2623</v>
      </c>
      <c r="C1151" s="20" t="s">
        <v>2624</v>
      </c>
      <c r="D1151" s="36" t="s">
        <v>28</v>
      </c>
      <c r="E1151" s="37" t="s">
        <v>3273</v>
      </c>
      <c r="F1151" s="43">
        <v>499.62</v>
      </c>
      <c r="G1151" s="100">
        <f t="shared" si="17"/>
        <v>499.62</v>
      </c>
      <c r="H1151" s="101"/>
      <c r="I1151" s="100">
        <f>G1151*H1151</f>
        <v>0</v>
      </c>
      <c r="J1151" s="39" t="s">
        <v>3664</v>
      </c>
      <c r="K1151" s="40" t="s">
        <v>41</v>
      </c>
      <c r="L1151" s="41"/>
      <c r="M1151" s="42" t="str">
        <f>HYPERLINK("https://catalog.onliner.by/xmaslights/neonnight/nn315265", "https://catalog.onliner.by/xmaslights/neonnight/nn315265")</f>
        <v>https://catalog.onliner.by/xmaslights/neonnight/nn315265</v>
      </c>
      <c r="N1151" s="42" t="str">
        <f>HYPERLINK("https://pronto.by/catalog/product/315-265.html", "https://pronto.by/catalog/product/315-265.html")</f>
        <v>https://pronto.by/catalog/product/315-265.html</v>
      </c>
    </row>
    <row r="1152" spans="1:14" customFormat="1" ht="69">
      <c r="A1152" s="35" t="s">
        <v>2625</v>
      </c>
      <c r="B1152" s="19" t="s">
        <v>2626</v>
      </c>
      <c r="C1152" s="20" t="s">
        <v>2627</v>
      </c>
      <c r="D1152" s="36" t="s">
        <v>28</v>
      </c>
      <c r="E1152" s="37" t="s">
        <v>3273</v>
      </c>
      <c r="F1152" s="43">
        <v>499.62</v>
      </c>
      <c r="G1152" s="100">
        <f t="shared" si="17"/>
        <v>499.62</v>
      </c>
      <c r="H1152" s="101"/>
      <c r="I1152" s="100">
        <f>G1152*H1152</f>
        <v>0</v>
      </c>
      <c r="J1152" s="39" t="s">
        <v>3664</v>
      </c>
      <c r="K1152" s="40" t="s">
        <v>41</v>
      </c>
      <c r="L1152" s="41"/>
      <c r="M1152" s="42" t="str">
        <f>HYPERLINK("https://catalog.onliner.by/xmaslights/neonnight/nn315266", "https://catalog.onliner.by/xmaslights/neonnight/nn315266")</f>
        <v>https://catalog.onliner.by/xmaslights/neonnight/nn315266</v>
      </c>
      <c r="N1152" s="42" t="str">
        <f>HYPERLINK("https://pronto.by/catalog/product/315-266.html", "https://pronto.by/catalog/product/315-266.html")</f>
        <v>https://pronto.by/catalog/product/315-266.html</v>
      </c>
    </row>
    <row r="1153" spans="1:14" customFormat="1" ht="15.6">
      <c r="A1153" s="81" t="s">
        <v>4091</v>
      </c>
      <c r="B1153" s="67"/>
      <c r="C1153" s="67"/>
      <c r="D1153" s="32"/>
      <c r="E1153" s="32"/>
      <c r="F1153" s="32"/>
      <c r="G1153" s="52"/>
      <c r="H1153" s="52"/>
      <c r="I1153" s="52"/>
      <c r="J1153" s="32"/>
      <c r="K1153" s="32"/>
      <c r="L1153" s="33"/>
      <c r="M1153" s="33"/>
      <c r="N1153" s="34"/>
    </row>
    <row r="1154" spans="1:14" customFormat="1" ht="15.6">
      <c r="A1154" s="81" t="s">
        <v>4092</v>
      </c>
      <c r="B1154" s="67"/>
      <c r="C1154" s="67"/>
      <c r="D1154" s="32"/>
      <c r="E1154" s="32"/>
      <c r="F1154" s="32"/>
      <c r="G1154" s="52"/>
      <c r="H1154" s="52"/>
      <c r="I1154" s="52"/>
      <c r="J1154" s="32"/>
      <c r="K1154" s="32"/>
      <c r="L1154" s="33"/>
      <c r="M1154" s="33"/>
      <c r="N1154" s="34"/>
    </row>
    <row r="1155" spans="1:14" customFormat="1" ht="55.2">
      <c r="A1155" s="35" t="s">
        <v>2628</v>
      </c>
      <c r="B1155" s="19" t="s">
        <v>2629</v>
      </c>
      <c r="C1155" s="20" t="s">
        <v>2630</v>
      </c>
      <c r="D1155" s="36" t="s">
        <v>28</v>
      </c>
      <c r="E1155" s="37" t="s">
        <v>3285</v>
      </c>
      <c r="F1155" s="43">
        <v>922.5</v>
      </c>
      <c r="G1155" s="100">
        <f t="shared" si="17"/>
        <v>922.5</v>
      </c>
      <c r="H1155" s="101"/>
      <c r="I1155" s="100">
        <f>G1155*H1155</f>
        <v>0</v>
      </c>
      <c r="J1155" s="39" t="s">
        <v>3664</v>
      </c>
      <c r="K1155" s="40" t="s">
        <v>69</v>
      </c>
      <c r="L1155" s="41"/>
      <c r="M1155" s="42" t="str">
        <f>HYPERLINK("https://catalog.onliner.by/xmaslights/neonnight/nn323619", "https://catalog.onliner.by/xmaslights/neonnight/nn323619")</f>
        <v>https://catalog.onliner.by/xmaslights/neonnight/nn323619</v>
      </c>
      <c r="N1155" s="42" t="str">
        <f>HYPERLINK("https://pronto.by/catalog/product/323-619.html", "https://pronto.by/catalog/product/323-619.html")</f>
        <v>https://pronto.by/catalog/product/323-619.html</v>
      </c>
    </row>
    <row r="1156" spans="1:14" customFormat="1" ht="41.4">
      <c r="A1156" s="35" t="s">
        <v>2631</v>
      </c>
      <c r="B1156" s="19" t="s">
        <v>2632</v>
      </c>
      <c r="C1156" s="20" t="s">
        <v>2633</v>
      </c>
      <c r="D1156" s="36" t="s">
        <v>28</v>
      </c>
      <c r="E1156" s="37" t="s">
        <v>3285</v>
      </c>
      <c r="F1156" s="43">
        <v>344.34</v>
      </c>
      <c r="G1156" s="100">
        <f t="shared" si="17"/>
        <v>344.34</v>
      </c>
      <c r="H1156" s="101"/>
      <c r="I1156" s="100">
        <f>G1156*H1156</f>
        <v>0</v>
      </c>
      <c r="J1156" s="39" t="s">
        <v>3664</v>
      </c>
      <c r="K1156" s="40" t="s">
        <v>41</v>
      </c>
      <c r="L1156" s="41"/>
      <c r="M1156" s="42" t="str">
        <f>HYPERLINK("https://catalog.onliner.by/xmaslights/neonnight/nn323615", "https://catalog.onliner.by/xmaslights/neonnight/nn323615")</f>
        <v>https://catalog.onliner.by/xmaslights/neonnight/nn323615</v>
      </c>
      <c r="N1156" s="42" t="str">
        <f>HYPERLINK("https://pronto.by/catalog/product/323-615.html", "https://pronto.by/catalog/product/323-615.html")</f>
        <v>https://pronto.by/catalog/product/323-615.html</v>
      </c>
    </row>
    <row r="1157" spans="1:14" customFormat="1" ht="41.4">
      <c r="A1157" s="35" t="s">
        <v>2634</v>
      </c>
      <c r="B1157" s="19" t="s">
        <v>2635</v>
      </c>
      <c r="C1157" s="20" t="s">
        <v>2636</v>
      </c>
      <c r="D1157" s="36" t="s">
        <v>28</v>
      </c>
      <c r="E1157" s="37" t="s">
        <v>3283</v>
      </c>
      <c r="F1157" s="43">
        <v>457.98</v>
      </c>
      <c r="G1157" s="100">
        <f t="shared" si="17"/>
        <v>457.98</v>
      </c>
      <c r="H1157" s="101"/>
      <c r="I1157" s="100">
        <f>G1157*H1157</f>
        <v>0</v>
      </c>
      <c r="J1157" s="39" t="s">
        <v>3664</v>
      </c>
      <c r="K1157" s="40" t="s">
        <v>41</v>
      </c>
      <c r="L1157" s="41"/>
      <c r="M1157" s="42" t="str">
        <f>HYPERLINK("https://catalog.onliner.by/xmaslights/neonnight/nn323315", "https://catalog.onliner.by/xmaslights/neonnight/nn323315")</f>
        <v>https://catalog.onliner.by/xmaslights/neonnight/nn323315</v>
      </c>
      <c r="N1157" s="42" t="str">
        <f>HYPERLINK("https://pronto.by/catalog/product/323-315.html", "https://pronto.by/catalog/product/323-315.html")</f>
        <v>https://pronto.by/catalog/product/323-315.html</v>
      </c>
    </row>
    <row r="1158" spans="1:14" customFormat="1" ht="41.4">
      <c r="A1158" s="35" t="s">
        <v>4093</v>
      </c>
      <c r="B1158" s="19" t="s">
        <v>4094</v>
      </c>
      <c r="C1158" s="20" t="s">
        <v>4095</v>
      </c>
      <c r="D1158" s="36" t="s">
        <v>28</v>
      </c>
      <c r="E1158" s="37" t="s">
        <v>3283</v>
      </c>
      <c r="F1158" s="43">
        <v>457.98</v>
      </c>
      <c r="G1158" s="100">
        <f t="shared" si="17"/>
        <v>457.98</v>
      </c>
      <c r="H1158" s="101"/>
      <c r="I1158" s="100">
        <f>G1158*H1158</f>
        <v>0</v>
      </c>
      <c r="J1158" s="39" t="s">
        <v>3664</v>
      </c>
      <c r="K1158" s="40" t="s">
        <v>41</v>
      </c>
      <c r="L1158" s="41"/>
      <c r="M1158" s="42" t="str">
        <f>HYPERLINK("https://catalog.onliner.by/xmaslights/neonnight/nn323319", "https://catalog.onliner.by/xmaslights/neonnight/nn323319")</f>
        <v>https://catalog.onliner.by/xmaslights/neonnight/nn323319</v>
      </c>
      <c r="N1158" s="42" t="str">
        <f>HYPERLINK("https://pronto.by/catalog/product/323-319.html", "https://pronto.by/catalog/product/323-319.html")</f>
        <v>https://pronto.by/catalog/product/323-319.html</v>
      </c>
    </row>
    <row r="1159" spans="1:14" customFormat="1" ht="41.4">
      <c r="A1159" s="35" t="s">
        <v>4096</v>
      </c>
      <c r="B1159" s="19" t="s">
        <v>4097</v>
      </c>
      <c r="C1159" s="20" t="s">
        <v>4098</v>
      </c>
      <c r="D1159" s="36" t="s">
        <v>28</v>
      </c>
      <c r="E1159" s="37" t="s">
        <v>3304</v>
      </c>
      <c r="F1159" s="43">
        <v>370.92</v>
      </c>
      <c r="G1159" s="100">
        <f t="shared" si="17"/>
        <v>370.92</v>
      </c>
      <c r="H1159" s="101"/>
      <c r="I1159" s="100">
        <f>G1159*H1159</f>
        <v>0</v>
      </c>
      <c r="J1159" s="39" t="s">
        <v>3664</v>
      </c>
      <c r="K1159" s="40" t="s">
        <v>41</v>
      </c>
      <c r="L1159" s="41"/>
      <c r="M1159" s="42" t="s">
        <v>4099</v>
      </c>
      <c r="N1159" s="83" t="s">
        <v>4100</v>
      </c>
    </row>
    <row r="1160" spans="1:14" customFormat="1" ht="41.4">
      <c r="A1160" s="35" t="s">
        <v>2637</v>
      </c>
      <c r="B1160" s="19" t="s">
        <v>2638</v>
      </c>
      <c r="C1160" s="20" t="s">
        <v>2639</v>
      </c>
      <c r="D1160" s="36" t="s">
        <v>28</v>
      </c>
      <c r="E1160" s="37" t="s">
        <v>3283</v>
      </c>
      <c r="F1160" s="43">
        <v>457.98</v>
      </c>
      <c r="G1160" s="100">
        <f t="shared" si="17"/>
        <v>457.98</v>
      </c>
      <c r="H1160" s="101"/>
      <c r="I1160" s="100">
        <f>G1160*H1160</f>
        <v>0</v>
      </c>
      <c r="J1160" s="39" t="s">
        <v>3664</v>
      </c>
      <c r="K1160" s="40" t="s">
        <v>69</v>
      </c>
      <c r="L1160" s="41"/>
      <c r="M1160" s="42" t="str">
        <f>HYPERLINK("https://catalog.onliner.by/xmaslights/neonnight/nn323316", "https://catalog.onliner.by/xmaslights/neonnight/nn323316")</f>
        <v>https://catalog.onliner.by/xmaslights/neonnight/nn323316</v>
      </c>
      <c r="N1160" s="42" t="str">
        <f>HYPERLINK("https://pronto.by/catalog/product/323-316.html", "https://pronto.by/catalog/product/323-316.html")</f>
        <v>https://pronto.by/catalog/product/323-316.html</v>
      </c>
    </row>
    <row r="1161" spans="1:14" customFormat="1" ht="41.4">
      <c r="A1161" s="35" t="s">
        <v>2640</v>
      </c>
      <c r="B1161" s="19" t="s">
        <v>2641</v>
      </c>
      <c r="C1161" s="20" t="s">
        <v>2642</v>
      </c>
      <c r="D1161" s="36" t="s">
        <v>28</v>
      </c>
      <c r="E1161" s="37" t="s">
        <v>3285</v>
      </c>
      <c r="F1161" s="43">
        <v>704.16000000000008</v>
      </c>
      <c r="G1161" s="100">
        <f t="shared" si="17"/>
        <v>704.16</v>
      </c>
      <c r="H1161" s="101"/>
      <c r="I1161" s="100">
        <f>G1161*H1161</f>
        <v>0</v>
      </c>
      <c r="J1161" s="39" t="s">
        <v>3664</v>
      </c>
      <c r="K1161" s="40" t="s">
        <v>69</v>
      </c>
      <c r="L1161" s="41"/>
      <c r="M1161" s="42" t="str">
        <f>HYPERLINK("https://catalog.onliner.by/xmaslights/neonnight/nn323305", "https://catalog.onliner.by/xmaslights/neonnight/nn323305")</f>
        <v>https://catalog.onliner.by/xmaslights/neonnight/nn323305</v>
      </c>
      <c r="N1161" s="42" t="str">
        <f>HYPERLINK("https://pronto.by/catalog/product/323-305.html", "https://pronto.by/catalog/product/323-305.html")</f>
        <v>https://pronto.by/catalog/product/323-305.html</v>
      </c>
    </row>
    <row r="1162" spans="1:14" customFormat="1" ht="41.4">
      <c r="A1162" s="35" t="s">
        <v>2643</v>
      </c>
      <c r="B1162" s="19" t="s">
        <v>2644</v>
      </c>
      <c r="C1162" s="20" t="s">
        <v>2645</v>
      </c>
      <c r="D1162" s="36" t="s">
        <v>28</v>
      </c>
      <c r="E1162" s="37" t="s">
        <v>3285</v>
      </c>
      <c r="F1162" s="43">
        <v>704.16000000000008</v>
      </c>
      <c r="G1162" s="100">
        <f t="shared" si="17"/>
        <v>704.16</v>
      </c>
      <c r="H1162" s="101"/>
      <c r="I1162" s="100">
        <f>G1162*H1162</f>
        <v>0</v>
      </c>
      <c r="J1162" s="39" t="s">
        <v>3664</v>
      </c>
      <c r="K1162" s="40" t="s">
        <v>69</v>
      </c>
      <c r="L1162" s="41"/>
      <c r="M1162" s="42" t="str">
        <f>HYPERLINK("https://catalog.onliner.by/xmaslights/neonnight/nn323301", "https://catalog.onliner.by/xmaslights/neonnight/nn323301")</f>
        <v>https://catalog.onliner.by/xmaslights/neonnight/nn323301</v>
      </c>
      <c r="N1162" s="42" t="str">
        <f>HYPERLINK("https://pronto.by/catalog/product/323-301.html", "https://pronto.by/catalog/product/323-301.html")</f>
        <v>https://pronto.by/catalog/product/323-301.html</v>
      </c>
    </row>
    <row r="1163" spans="1:14" customFormat="1" ht="55.2">
      <c r="A1163" s="35" t="s">
        <v>2646</v>
      </c>
      <c r="B1163" s="19" t="s">
        <v>2647</v>
      </c>
      <c r="C1163" s="20" t="s">
        <v>2648</v>
      </c>
      <c r="D1163" s="36" t="s">
        <v>28</v>
      </c>
      <c r="E1163" s="37" t="s">
        <v>3285</v>
      </c>
      <c r="F1163" s="43">
        <v>633.72</v>
      </c>
      <c r="G1163" s="100">
        <f t="shared" si="17"/>
        <v>633.72</v>
      </c>
      <c r="H1163" s="101"/>
      <c r="I1163" s="100">
        <f>G1163*H1163</f>
        <v>0</v>
      </c>
      <c r="J1163" s="39" t="s">
        <v>3664</v>
      </c>
      <c r="K1163" s="40" t="s">
        <v>41</v>
      </c>
      <c r="L1163" s="41"/>
      <c r="M1163" s="42" t="str">
        <f>HYPERLINK("https://catalog.onliner.by/xmaslights/neonnight/nn323302", "https://catalog.onliner.by/xmaslights/neonnight/nn323302")</f>
        <v>https://catalog.onliner.by/xmaslights/neonnight/nn323302</v>
      </c>
      <c r="N1163" s="42" t="str">
        <f>HYPERLINK("https://pronto.by/catalog/product/323-302.html", "https://pronto.by/catalog/product/323-302.html")</f>
        <v>https://pronto.by/catalog/product/323-302.html</v>
      </c>
    </row>
    <row r="1164" spans="1:14" customFormat="1" ht="41.4">
      <c r="A1164" s="35" t="s">
        <v>2649</v>
      </c>
      <c r="B1164" s="19" t="s">
        <v>2650</v>
      </c>
      <c r="C1164" s="20" t="s">
        <v>2651</v>
      </c>
      <c r="D1164" s="36" t="s">
        <v>28</v>
      </c>
      <c r="E1164" s="37" t="s">
        <v>3304</v>
      </c>
      <c r="F1164" s="43">
        <v>704.16000000000008</v>
      </c>
      <c r="G1164" s="100">
        <f t="shared" si="17"/>
        <v>704.16</v>
      </c>
      <c r="H1164" s="101"/>
      <c r="I1164" s="100">
        <f>G1164*H1164</f>
        <v>0</v>
      </c>
      <c r="J1164" s="39" t="s">
        <v>3664</v>
      </c>
      <c r="K1164" s="40" t="s">
        <v>69</v>
      </c>
      <c r="L1164" s="41"/>
      <c r="M1164" s="42" t="str">
        <f>HYPERLINK("https://catalog.onliner.by/xmaslights/neonnight/nn323309", "https://catalog.onliner.by/xmaslights/neonnight/nn323309")</f>
        <v>https://catalog.onliner.by/xmaslights/neonnight/nn323309</v>
      </c>
      <c r="N1164" s="42" t="str">
        <f>HYPERLINK("https://pronto.by/catalog/product/323-309.html", "https://pronto.by/catalog/product/323-309.html")</f>
        <v>https://pronto.by/catalog/product/323-309.html</v>
      </c>
    </row>
    <row r="1165" spans="1:14" customFormat="1" ht="41.4">
      <c r="A1165" s="35" t="s">
        <v>2652</v>
      </c>
      <c r="B1165" s="19" t="s">
        <v>2653</v>
      </c>
      <c r="C1165" s="20" t="s">
        <v>2654</v>
      </c>
      <c r="D1165" s="36" t="s">
        <v>28</v>
      </c>
      <c r="E1165" s="37" t="s">
        <v>3290</v>
      </c>
      <c r="F1165" s="43">
        <v>704.16000000000008</v>
      </c>
      <c r="G1165" s="100">
        <f t="shared" si="17"/>
        <v>704.16</v>
      </c>
      <c r="H1165" s="101"/>
      <c r="I1165" s="100">
        <f>G1165*H1165</f>
        <v>0</v>
      </c>
      <c r="J1165" s="39" t="s">
        <v>3664</v>
      </c>
      <c r="K1165" s="40" t="s">
        <v>69</v>
      </c>
      <c r="L1165" s="41"/>
      <c r="M1165" s="42" t="str">
        <f>HYPERLINK("https://catalog.onliner.by/xmaslights/neonnight/nn323303", "https://catalog.onliner.by/xmaslights/neonnight/nn323303")</f>
        <v>https://catalog.onliner.by/xmaslights/neonnight/nn323303</v>
      </c>
      <c r="N1165" s="42" t="str">
        <f>HYPERLINK("https://pronto.by/catalog/product/323-303.html", "https://pronto.by/catalog/product/323-303.html")</f>
        <v>https://pronto.by/catalog/product/323-303.html</v>
      </c>
    </row>
    <row r="1166" spans="1:14" customFormat="1" ht="15.6">
      <c r="A1166" s="81" t="s">
        <v>4101</v>
      </c>
      <c r="B1166" s="67"/>
      <c r="C1166" s="67"/>
      <c r="D1166" s="32"/>
      <c r="E1166" s="32"/>
      <c r="F1166" s="32"/>
      <c r="G1166" s="52"/>
      <c r="H1166" s="52"/>
      <c r="I1166" s="52"/>
      <c r="J1166" s="32"/>
      <c r="K1166" s="32"/>
      <c r="L1166" s="33"/>
      <c r="M1166" s="33"/>
      <c r="N1166" s="34"/>
    </row>
    <row r="1167" spans="1:14" customFormat="1" ht="41.4">
      <c r="A1167" s="35" t="s">
        <v>2655</v>
      </c>
      <c r="B1167" s="19" t="s">
        <v>2656</v>
      </c>
      <c r="C1167" s="20" t="s">
        <v>2657</v>
      </c>
      <c r="D1167" s="36" t="s">
        <v>28</v>
      </c>
      <c r="E1167" s="37" t="s">
        <v>3285</v>
      </c>
      <c r="F1167" s="43">
        <v>876.9</v>
      </c>
      <c r="G1167" s="100">
        <f t="shared" ref="G1167:G1230" si="18">ROUND(F1167-F1167*G$3,2)</f>
        <v>876.9</v>
      </c>
      <c r="H1167" s="101"/>
      <c r="I1167" s="100">
        <f>G1167*H1167</f>
        <v>0</v>
      </c>
      <c r="J1167" s="39" t="s">
        <v>3664</v>
      </c>
      <c r="K1167" s="40" t="s">
        <v>69</v>
      </c>
      <c r="L1167" s="41"/>
      <c r="M1167" s="42" t="str">
        <f>HYPERLINK("https://catalog.onliner.by/xmaslights/neonnight/nn323505", "https://catalog.onliner.by/xmaslights/neonnight/nn323505")</f>
        <v>https://catalog.onliner.by/xmaslights/neonnight/nn323505</v>
      </c>
      <c r="N1167" s="42" t="str">
        <f>HYPERLINK("https://pronto.by/catalog/product/323-505.html", "https://pronto.by/catalog/product/323-505.html")</f>
        <v>https://pronto.by/catalog/product/323-505.html</v>
      </c>
    </row>
    <row r="1168" spans="1:14" customFormat="1" ht="41.4">
      <c r="A1168" s="35" t="s">
        <v>2658</v>
      </c>
      <c r="B1168" s="19" t="s">
        <v>2659</v>
      </c>
      <c r="C1168" s="20" t="s">
        <v>2660</v>
      </c>
      <c r="D1168" s="36" t="s">
        <v>28</v>
      </c>
      <c r="E1168" s="37" t="s">
        <v>3290</v>
      </c>
      <c r="F1168" s="43">
        <v>876.9</v>
      </c>
      <c r="G1168" s="100">
        <f t="shared" si="18"/>
        <v>876.9</v>
      </c>
      <c r="H1168" s="101"/>
      <c r="I1168" s="100">
        <f>G1168*H1168</f>
        <v>0</v>
      </c>
      <c r="J1168" s="39" t="s">
        <v>3664</v>
      </c>
      <c r="K1168" s="40" t="s">
        <v>69</v>
      </c>
      <c r="L1168" s="41"/>
      <c r="M1168" s="42" t="str">
        <f>HYPERLINK("https://catalog.onliner.by/xmaslights/neonnight/nn323501", "https://catalog.onliner.by/xmaslights/neonnight/nn323501")</f>
        <v>https://catalog.onliner.by/xmaslights/neonnight/nn323501</v>
      </c>
      <c r="N1168" s="42" t="str">
        <f>HYPERLINK("https://pronto.by/catalog/product/323-501.html", "https://pronto.by/catalog/product/323-501.html")</f>
        <v>https://pronto.by/catalog/product/323-501.html</v>
      </c>
    </row>
    <row r="1169" spans="1:14" customFormat="1" ht="41.4">
      <c r="A1169" s="35" t="s">
        <v>2661</v>
      </c>
      <c r="B1169" s="19" t="s">
        <v>2662</v>
      </c>
      <c r="C1169" s="20" t="s">
        <v>2663</v>
      </c>
      <c r="D1169" s="36" t="s">
        <v>28</v>
      </c>
      <c r="E1169" s="37" t="s">
        <v>3285</v>
      </c>
      <c r="F1169" s="43">
        <v>876.9</v>
      </c>
      <c r="G1169" s="100">
        <f t="shared" si="18"/>
        <v>876.9</v>
      </c>
      <c r="H1169" s="101"/>
      <c r="I1169" s="100">
        <f>G1169*H1169</f>
        <v>0</v>
      </c>
      <c r="J1169" s="39" t="s">
        <v>3664</v>
      </c>
      <c r="K1169" s="40" t="s">
        <v>69</v>
      </c>
      <c r="L1169" s="41"/>
      <c r="M1169" s="42" t="str">
        <f>HYPERLINK("https://catalog.onliner.by/xmaslights/neonnight/nn323509", "https://catalog.onliner.by/xmaslights/neonnight/nn323509")</f>
        <v>https://catalog.onliner.by/xmaslights/neonnight/nn323509</v>
      </c>
      <c r="N1169" s="42" t="str">
        <f>HYPERLINK("https://pronto.by/catalog/product/323-509.html", "https://pronto.by/catalog/product/323-509.html")</f>
        <v>https://pronto.by/catalog/product/323-509.html</v>
      </c>
    </row>
    <row r="1170" spans="1:14" customFormat="1" ht="41.4">
      <c r="A1170" s="35" t="s">
        <v>2664</v>
      </c>
      <c r="B1170" s="19" t="s">
        <v>2665</v>
      </c>
      <c r="C1170" s="20" t="s">
        <v>2666</v>
      </c>
      <c r="D1170" s="36" t="s">
        <v>28</v>
      </c>
      <c r="E1170" s="37" t="s">
        <v>3285</v>
      </c>
      <c r="F1170" s="43">
        <v>876.9</v>
      </c>
      <c r="G1170" s="100">
        <f t="shared" si="18"/>
        <v>876.9</v>
      </c>
      <c r="H1170" s="101"/>
      <c r="I1170" s="100">
        <f>G1170*H1170</f>
        <v>0</v>
      </c>
      <c r="J1170" s="39" t="s">
        <v>3664</v>
      </c>
      <c r="K1170" s="40" t="s">
        <v>69</v>
      </c>
      <c r="L1170" s="41"/>
      <c r="M1170" s="42" t="str">
        <f>HYPERLINK("https://catalog.onliner.by/xmaslights/neonnight/nn323503", "https://catalog.onliner.by/xmaslights/neonnight/nn323503")</f>
        <v>https://catalog.onliner.by/xmaslights/neonnight/nn323503</v>
      </c>
      <c r="N1170" s="42" t="str">
        <f>HYPERLINK("https://pronto.by/catalog/product/323-503.html", "https://pronto.by/catalog/product/323-503.html")</f>
        <v>https://pronto.by/catalog/product/323-503.html</v>
      </c>
    </row>
    <row r="1171" spans="1:14" customFormat="1" ht="41.4">
      <c r="A1171" s="35" t="s">
        <v>2667</v>
      </c>
      <c r="B1171" s="19" t="s">
        <v>2668</v>
      </c>
      <c r="C1171" s="20" t="s">
        <v>2669</v>
      </c>
      <c r="D1171" s="36" t="s">
        <v>28</v>
      </c>
      <c r="E1171" s="37" t="s">
        <v>3285</v>
      </c>
      <c r="F1171" s="43">
        <v>876.9</v>
      </c>
      <c r="G1171" s="100">
        <f t="shared" si="18"/>
        <v>876.9</v>
      </c>
      <c r="H1171" s="101"/>
      <c r="I1171" s="100">
        <f>G1171*H1171</f>
        <v>0</v>
      </c>
      <c r="J1171" s="39" t="s">
        <v>3664</v>
      </c>
      <c r="K1171" s="40" t="s">
        <v>69</v>
      </c>
      <c r="L1171" s="41"/>
      <c r="M1171" s="42" t="str">
        <f>HYPERLINK("https://catalog.onliner.by/xmaslights/neonnight/nn323506", "https://catalog.onliner.by/xmaslights/neonnight/nn323506")</f>
        <v>https://catalog.onliner.by/xmaslights/neonnight/nn323506</v>
      </c>
      <c r="N1171" s="42" t="str">
        <f>HYPERLINK("https://pronto.by/catalog/product/323-506.html", "https://pronto.by/catalog/product/323-506.html")</f>
        <v>https://pronto.by/catalog/product/323-506.html</v>
      </c>
    </row>
    <row r="1172" spans="1:14" customFormat="1" ht="41.4">
      <c r="A1172" s="35" t="s">
        <v>2670</v>
      </c>
      <c r="B1172" s="19" t="s">
        <v>2671</v>
      </c>
      <c r="C1172" s="20" t="s">
        <v>2672</v>
      </c>
      <c r="D1172" s="36" t="s">
        <v>28</v>
      </c>
      <c r="E1172" s="37" t="s">
        <v>3285</v>
      </c>
      <c r="F1172" s="43">
        <v>929.46</v>
      </c>
      <c r="G1172" s="100">
        <f t="shared" si="18"/>
        <v>929.46</v>
      </c>
      <c r="H1172" s="101"/>
      <c r="I1172" s="100">
        <f>G1172*H1172</f>
        <v>0</v>
      </c>
      <c r="J1172" s="39" t="s">
        <v>3664</v>
      </c>
      <c r="K1172" s="40" t="s">
        <v>69</v>
      </c>
      <c r="L1172" s="41"/>
      <c r="M1172" s="42" t="str">
        <f>HYPERLINK("https://catalog.onliner.by/xmaslights/neonnight/nn323605", "https://catalog.onliner.by/xmaslights/neonnight/nn323605")</f>
        <v>https://catalog.onliner.by/xmaslights/neonnight/nn323605</v>
      </c>
      <c r="N1172" s="42" t="str">
        <f>HYPERLINK("https://pronto.by/catalog/product/323-605.html", "https://pronto.by/catalog/product/323-605.html")</f>
        <v>https://pronto.by/catalog/product/323-605.html</v>
      </c>
    </row>
    <row r="1173" spans="1:14" customFormat="1" ht="41.4">
      <c r="A1173" s="35" t="s">
        <v>2673</v>
      </c>
      <c r="B1173" s="19" t="s">
        <v>2674</v>
      </c>
      <c r="C1173" s="20" t="s">
        <v>2675</v>
      </c>
      <c r="D1173" s="36" t="s">
        <v>28</v>
      </c>
      <c r="E1173" s="37" t="s">
        <v>3285</v>
      </c>
      <c r="F1173" s="43">
        <v>929.46</v>
      </c>
      <c r="G1173" s="100">
        <f t="shared" si="18"/>
        <v>929.46</v>
      </c>
      <c r="H1173" s="101"/>
      <c r="I1173" s="100">
        <f>G1173*H1173</f>
        <v>0</v>
      </c>
      <c r="J1173" s="39" t="s">
        <v>3664</v>
      </c>
      <c r="K1173" s="40" t="s">
        <v>69</v>
      </c>
      <c r="L1173" s="41"/>
      <c r="M1173" s="42" t="str">
        <f>HYPERLINK("https://catalog.onliner.by/xmaslights/neonnight/nn323601", "https://catalog.onliner.by/xmaslights/neonnight/nn323601")</f>
        <v>https://catalog.onliner.by/xmaslights/neonnight/nn323601</v>
      </c>
      <c r="N1173" s="42" t="str">
        <f>HYPERLINK("https://pronto.by/catalog/product/323-601.html", "https://pronto.by/catalog/product/323-601.html")</f>
        <v>https://pronto.by/catalog/product/323-601.html</v>
      </c>
    </row>
    <row r="1174" spans="1:14" customFormat="1" ht="41.4">
      <c r="A1174" s="35" t="s">
        <v>2676</v>
      </c>
      <c r="B1174" s="19" t="s">
        <v>2677</v>
      </c>
      <c r="C1174" s="20" t="s">
        <v>2678</v>
      </c>
      <c r="D1174" s="36" t="s">
        <v>28</v>
      </c>
      <c r="E1174" s="37" t="s">
        <v>3285</v>
      </c>
      <c r="F1174" s="43">
        <v>929.46</v>
      </c>
      <c r="G1174" s="100">
        <f t="shared" si="18"/>
        <v>929.46</v>
      </c>
      <c r="H1174" s="101"/>
      <c r="I1174" s="100">
        <f>G1174*H1174</f>
        <v>0</v>
      </c>
      <c r="J1174" s="39" t="s">
        <v>3664</v>
      </c>
      <c r="K1174" s="40" t="s">
        <v>69</v>
      </c>
      <c r="L1174" s="41"/>
      <c r="M1174" s="42" t="str">
        <f>HYPERLINK("https://catalog.onliner.by/xmaslights/neonnight/nn323603", "https://catalog.onliner.by/xmaslights/neonnight/nn323603")</f>
        <v>https://catalog.onliner.by/xmaslights/neonnight/nn323603</v>
      </c>
      <c r="N1174" s="42" t="str">
        <f>HYPERLINK("https://pronto.by/catalog/product/323-603.html", "https://pronto.by/catalog/product/323-603.html")</f>
        <v>https://pronto.by/catalog/product/323-603.html</v>
      </c>
    </row>
    <row r="1175" spans="1:14" customFormat="1" ht="55.2">
      <c r="A1175" s="35" t="s">
        <v>2679</v>
      </c>
      <c r="B1175" s="19" t="s">
        <v>2680</v>
      </c>
      <c r="C1175" s="20" t="s">
        <v>2681</v>
      </c>
      <c r="D1175" s="36" t="s">
        <v>28</v>
      </c>
      <c r="E1175" s="37" t="s">
        <v>3285</v>
      </c>
      <c r="F1175" s="43">
        <v>929.46</v>
      </c>
      <c r="G1175" s="100">
        <f t="shared" si="18"/>
        <v>929.46</v>
      </c>
      <c r="H1175" s="101"/>
      <c r="I1175" s="100">
        <f>G1175*H1175</f>
        <v>0</v>
      </c>
      <c r="J1175" s="39" t="s">
        <v>3664</v>
      </c>
      <c r="K1175" s="40" t="s">
        <v>69</v>
      </c>
      <c r="L1175" s="41"/>
      <c r="M1175" s="42" t="str">
        <f>HYPERLINK("https://catalog.onliner.by/xmaslights/neonnight/nn323606", "https://catalog.onliner.by/xmaslights/neonnight/nn323606")</f>
        <v>https://catalog.onliner.by/xmaslights/neonnight/nn323606</v>
      </c>
      <c r="N1175" s="42" t="str">
        <f>HYPERLINK("https://pronto.by/catalog/product/323-606.html", "https://pronto.by/catalog/product/323-606.html")</f>
        <v>https://pronto.by/catalog/product/323-606.html</v>
      </c>
    </row>
    <row r="1176" spans="1:14" customFormat="1" ht="15.6">
      <c r="A1176" s="81" t="s">
        <v>4102</v>
      </c>
      <c r="B1176" s="67"/>
      <c r="C1176" s="67"/>
      <c r="D1176" s="32"/>
      <c r="E1176" s="32"/>
      <c r="F1176" s="32"/>
      <c r="G1176" s="52"/>
      <c r="H1176" s="52"/>
      <c r="I1176" s="52"/>
      <c r="J1176" s="32"/>
      <c r="K1176" s="32"/>
      <c r="L1176" s="33"/>
      <c r="M1176" s="33"/>
      <c r="N1176" s="34"/>
    </row>
    <row r="1177" spans="1:14" customFormat="1" ht="41.4">
      <c r="A1177" s="35" t="s">
        <v>2682</v>
      </c>
      <c r="B1177" s="19" t="s">
        <v>2683</v>
      </c>
      <c r="C1177" s="20" t="s">
        <v>4103</v>
      </c>
      <c r="D1177" s="36" t="s">
        <v>30</v>
      </c>
      <c r="E1177" s="37" t="s">
        <v>3293</v>
      </c>
      <c r="F1177" s="43">
        <v>17.399999999999999</v>
      </c>
      <c r="G1177" s="100">
        <f t="shared" si="18"/>
        <v>17.399999999999999</v>
      </c>
      <c r="H1177" s="101"/>
      <c r="I1177" s="100">
        <f>G1177*H1177</f>
        <v>0</v>
      </c>
      <c r="J1177" s="39" t="s">
        <v>3664</v>
      </c>
      <c r="K1177" s="40" t="s">
        <v>69</v>
      </c>
      <c r="L1177" s="41"/>
      <c r="M1177" s="42" t="str">
        <f>HYPERLINK("https://catalog.onliner.by/xmaslights/neonnight/neon325165", "https://catalog.onliner.by/xmaslights/neonnight/neon325165")</f>
        <v>https://catalog.onliner.by/xmaslights/neonnight/neon325165</v>
      </c>
      <c r="N1177" s="42" t="str">
        <f>HYPERLINK("https://pronto.by/catalog/product/325-165.html", "https://pronto.by/catalog/product/325-165.html")</f>
        <v>https://pronto.by/catalog/product/325-165.html</v>
      </c>
    </row>
    <row r="1178" spans="1:14" customFormat="1" ht="55.2">
      <c r="A1178" s="35" t="s">
        <v>2684</v>
      </c>
      <c r="B1178" s="19" t="s">
        <v>2685</v>
      </c>
      <c r="C1178" s="20" t="s">
        <v>4104</v>
      </c>
      <c r="D1178" s="36" t="s">
        <v>30</v>
      </c>
      <c r="E1178" s="37" t="s">
        <v>3293</v>
      </c>
      <c r="F1178" s="43">
        <v>17.399999999999999</v>
      </c>
      <c r="G1178" s="100">
        <f t="shared" si="18"/>
        <v>17.399999999999999</v>
      </c>
      <c r="H1178" s="101"/>
      <c r="I1178" s="100">
        <f>G1178*H1178</f>
        <v>0</v>
      </c>
      <c r="J1178" s="39" t="s">
        <v>3664</v>
      </c>
      <c r="K1178" s="40" t="s">
        <v>69</v>
      </c>
      <c r="L1178" s="41"/>
      <c r="M1178" s="42" t="str">
        <f>HYPERLINK("https://catalog.onliner.by/xmaslights/neonnight/neon325166", "https://catalog.onliner.by/xmaslights/neonnight/neon325166")</f>
        <v>https://catalog.onliner.by/xmaslights/neonnight/neon325166</v>
      </c>
      <c r="N1178" s="42" t="str">
        <f>HYPERLINK("https://pronto.by/catalog/product/325-166.html", "https://pronto.by/catalog/product/325-166.html")</f>
        <v>https://pronto.by/catalog/product/325-166.html</v>
      </c>
    </row>
    <row r="1179" spans="1:14" customFormat="1" ht="41.4">
      <c r="A1179" s="35" t="s">
        <v>2686</v>
      </c>
      <c r="B1179" s="19" t="s">
        <v>2687</v>
      </c>
      <c r="C1179" s="20" t="s">
        <v>4105</v>
      </c>
      <c r="D1179" s="36" t="s">
        <v>30</v>
      </c>
      <c r="E1179" s="37" t="s">
        <v>3293</v>
      </c>
      <c r="F1179" s="43">
        <v>15.72</v>
      </c>
      <c r="G1179" s="100">
        <f t="shared" si="18"/>
        <v>15.72</v>
      </c>
      <c r="H1179" s="101"/>
      <c r="I1179" s="100">
        <f>G1179*H1179</f>
        <v>0</v>
      </c>
      <c r="J1179" s="39" t="s">
        <v>3664</v>
      </c>
      <c r="K1179" s="40" t="s">
        <v>69</v>
      </c>
      <c r="L1179" s="41"/>
      <c r="M1179" s="42" t="str">
        <f>HYPERLINK("https://catalog.onliner.by/xmaslights/neonnight/nn325125", "https://catalog.onliner.by/xmaslights/neonnight/nn325125")</f>
        <v>https://catalog.onliner.by/xmaslights/neonnight/nn325125</v>
      </c>
      <c r="N1179" s="42" t="str">
        <f>HYPERLINK("https://pronto.by/catalog/product/325-125.html", "https://pronto.by/catalog/product/325-125.html")</f>
        <v>https://pronto.by/catalog/product/325-125.html</v>
      </c>
    </row>
    <row r="1180" spans="1:14" customFormat="1" ht="41.4">
      <c r="A1180" s="35" t="s">
        <v>2688</v>
      </c>
      <c r="B1180" s="19" t="s">
        <v>2689</v>
      </c>
      <c r="C1180" s="20" t="s">
        <v>4106</v>
      </c>
      <c r="D1180" s="36" t="s">
        <v>30</v>
      </c>
      <c r="E1180" s="37" t="s">
        <v>3293</v>
      </c>
      <c r="F1180" s="43">
        <v>15.72</v>
      </c>
      <c r="G1180" s="100">
        <f t="shared" si="18"/>
        <v>15.72</v>
      </c>
      <c r="H1180" s="101"/>
      <c r="I1180" s="100">
        <f>G1180*H1180</f>
        <v>0</v>
      </c>
      <c r="J1180" s="39" t="s">
        <v>3664</v>
      </c>
      <c r="K1180" s="40" t="s">
        <v>69</v>
      </c>
      <c r="L1180" s="41"/>
      <c r="M1180" s="42" t="str">
        <f>HYPERLINK("https://catalog.onliner.by/xmaslights/neonnight/nn325121", "https://catalog.onliner.by/xmaslights/neonnight/nn325121")</f>
        <v>https://catalog.onliner.by/xmaslights/neonnight/nn325121</v>
      </c>
      <c r="N1180" s="42" t="str">
        <f>HYPERLINK("https://pronto.by/catalog/product/325-121.html", "https://pronto.by/catalog/product/325-121.html")</f>
        <v>https://pronto.by/catalog/product/325-121.html</v>
      </c>
    </row>
    <row r="1181" spans="1:14" customFormat="1" ht="41.4">
      <c r="A1181" s="35" t="s">
        <v>2690</v>
      </c>
      <c r="B1181" s="19" t="s">
        <v>2691</v>
      </c>
      <c r="C1181" s="20" t="s">
        <v>4107</v>
      </c>
      <c r="D1181" s="36" t="s">
        <v>30</v>
      </c>
      <c r="E1181" s="37" t="s">
        <v>3293</v>
      </c>
      <c r="F1181" s="43">
        <v>15.72</v>
      </c>
      <c r="G1181" s="100">
        <f t="shared" si="18"/>
        <v>15.72</v>
      </c>
      <c r="H1181" s="101"/>
      <c r="I1181" s="100">
        <f>G1181*H1181</f>
        <v>0</v>
      </c>
      <c r="J1181" s="39" t="s">
        <v>3664</v>
      </c>
      <c r="K1181" s="40" t="s">
        <v>69</v>
      </c>
      <c r="L1181" s="41"/>
      <c r="M1181" s="42" t="str">
        <f>HYPERLINK("https://catalog.onliner.by/xmaslights/neonnight/nn325129", "https://catalog.onliner.by/xmaslights/neonnight/nn325129")</f>
        <v>https://catalog.onliner.by/xmaslights/neonnight/nn325129</v>
      </c>
      <c r="N1181" s="42" t="str">
        <f>HYPERLINK("https://pronto.by/catalog/product/325-129.html", "https://pronto.by/catalog/product/325-129.html")</f>
        <v>https://pronto.by/catalog/product/325-129.html</v>
      </c>
    </row>
    <row r="1182" spans="1:14" customFormat="1" ht="41.4">
      <c r="A1182" s="35" t="s">
        <v>2692</v>
      </c>
      <c r="B1182" s="19" t="s">
        <v>2693</v>
      </c>
      <c r="C1182" s="20" t="s">
        <v>4108</v>
      </c>
      <c r="D1182" s="36" t="s">
        <v>30</v>
      </c>
      <c r="E1182" s="37" t="s">
        <v>3293</v>
      </c>
      <c r="F1182" s="43">
        <v>15.72</v>
      </c>
      <c r="G1182" s="100">
        <f t="shared" si="18"/>
        <v>15.72</v>
      </c>
      <c r="H1182" s="101"/>
      <c r="I1182" s="100">
        <f>G1182*H1182</f>
        <v>0</v>
      </c>
      <c r="J1182" s="39" t="s">
        <v>3664</v>
      </c>
      <c r="K1182" s="40" t="s">
        <v>69</v>
      </c>
      <c r="L1182" s="41"/>
      <c r="M1182" s="42" t="str">
        <f>HYPERLINK("https://catalog.onliner.by/xmaslights/neonnight/nn325123", "https://catalog.onliner.by/xmaslights/neonnight/nn325123")</f>
        <v>https://catalog.onliner.by/xmaslights/neonnight/nn325123</v>
      </c>
      <c r="N1182" s="42" t="str">
        <f>HYPERLINK("https://pronto.by/catalog/product/325-123.html", "https://pronto.by/catalog/product/325-123.html")</f>
        <v>https://pronto.by/catalog/product/325-123.html</v>
      </c>
    </row>
    <row r="1183" spans="1:14" customFormat="1" ht="41.4">
      <c r="A1183" s="35" t="s">
        <v>2694</v>
      </c>
      <c r="B1183" s="19" t="s">
        <v>2695</v>
      </c>
      <c r="C1183" s="20" t="s">
        <v>4109</v>
      </c>
      <c r="D1183" s="36" t="s">
        <v>30</v>
      </c>
      <c r="E1183" s="37" t="s">
        <v>3293</v>
      </c>
      <c r="F1183" s="43">
        <v>15.72</v>
      </c>
      <c r="G1183" s="100">
        <f t="shared" si="18"/>
        <v>15.72</v>
      </c>
      <c r="H1183" s="101"/>
      <c r="I1183" s="100">
        <f>G1183*H1183</f>
        <v>0</v>
      </c>
      <c r="J1183" s="39" t="s">
        <v>3664</v>
      </c>
      <c r="K1183" s="40" t="s">
        <v>69</v>
      </c>
      <c r="L1183" s="41"/>
      <c r="M1183" s="42" t="str">
        <f>HYPERLINK("https://catalog.onliner.by/xmaslights/neonnight/nn325126", "https://catalog.onliner.by/xmaslights/neonnight/nn325126")</f>
        <v>https://catalog.onliner.by/xmaslights/neonnight/nn325126</v>
      </c>
      <c r="N1183" s="42" t="str">
        <f>HYPERLINK("https://pronto.by/catalog/product/325-126.html", "https://pronto.by/catalog/product/325-126.html")</f>
        <v>https://pronto.by/catalog/product/325-126.html</v>
      </c>
    </row>
    <row r="1184" spans="1:14" customFormat="1" ht="41.4">
      <c r="A1184" s="35" t="s">
        <v>2696</v>
      </c>
      <c r="B1184" s="19" t="s">
        <v>2697</v>
      </c>
      <c r="C1184" s="20" t="s">
        <v>4110</v>
      </c>
      <c r="D1184" s="36" t="s">
        <v>30</v>
      </c>
      <c r="E1184" s="37" t="s">
        <v>3293</v>
      </c>
      <c r="F1184" s="43">
        <v>17.399999999999999</v>
      </c>
      <c r="G1184" s="100">
        <f t="shared" si="18"/>
        <v>17.399999999999999</v>
      </c>
      <c r="H1184" s="101"/>
      <c r="I1184" s="100">
        <f>G1184*H1184</f>
        <v>0</v>
      </c>
      <c r="J1184" s="39" t="s">
        <v>3664</v>
      </c>
      <c r="K1184" s="40" t="s">
        <v>69</v>
      </c>
      <c r="L1184" s="41"/>
      <c r="M1184" s="42" t="str">
        <f>HYPERLINK("https://catalog.onliner.by/xmaslights/neonnight/nn325145", "https://catalog.onliner.by/xmaslights/neonnight/nn325145")</f>
        <v>https://catalog.onliner.by/xmaslights/neonnight/nn325145</v>
      </c>
      <c r="N1184" s="42" t="str">
        <f>HYPERLINK("https://pronto.by/catalog/product/325-145.html", "https://pronto.by/catalog/product/325-145.html")</f>
        <v>https://pronto.by/catalog/product/325-145.html</v>
      </c>
    </row>
    <row r="1185" spans="1:14" customFormat="1" ht="62.4">
      <c r="A1185" s="35" t="s">
        <v>2698</v>
      </c>
      <c r="B1185" s="19" t="s">
        <v>2699</v>
      </c>
      <c r="C1185" s="20" t="s">
        <v>4111</v>
      </c>
      <c r="D1185" s="36" t="s">
        <v>30</v>
      </c>
      <c r="E1185" s="37" t="s">
        <v>3293</v>
      </c>
      <c r="F1185" s="43">
        <v>17.399999999999999</v>
      </c>
      <c r="G1185" s="100">
        <f t="shared" si="18"/>
        <v>17.399999999999999</v>
      </c>
      <c r="H1185" s="101"/>
      <c r="I1185" s="100">
        <f>G1185*H1185</f>
        <v>0</v>
      </c>
      <c r="J1185" s="39" t="s">
        <v>3664</v>
      </c>
      <c r="K1185" s="40" t="s">
        <v>69</v>
      </c>
      <c r="L1185" s="41" t="s">
        <v>4112</v>
      </c>
      <c r="M1185" s="42" t="str">
        <f>HYPERLINK("https://catalog.onliner.by/xmaslights/neonnight/nn325146", "https://catalog.onliner.by/xmaslights/neonnight/nn325146")</f>
        <v>https://catalog.onliner.by/xmaslights/neonnight/nn325146</v>
      </c>
      <c r="N1185" s="42" t="str">
        <f>HYPERLINK("https://pronto.by/catalog/product/325-146.html", "https://pronto.by/catalog/product/325-146.html")</f>
        <v>https://pronto.by/catalog/product/325-146.html</v>
      </c>
    </row>
    <row r="1186" spans="1:14" customFormat="1" ht="41.4">
      <c r="A1186" s="35" t="s">
        <v>2700</v>
      </c>
      <c r="B1186" s="19" t="s">
        <v>2701</v>
      </c>
      <c r="C1186" s="20" t="s">
        <v>4113</v>
      </c>
      <c r="D1186" s="36" t="s">
        <v>30</v>
      </c>
      <c r="E1186" s="37" t="s">
        <v>3293</v>
      </c>
      <c r="F1186" s="43">
        <v>15.72</v>
      </c>
      <c r="G1186" s="100">
        <f t="shared" si="18"/>
        <v>15.72</v>
      </c>
      <c r="H1186" s="101"/>
      <c r="I1186" s="100">
        <f>G1186*H1186</f>
        <v>0</v>
      </c>
      <c r="J1186" s="39" t="s">
        <v>3664</v>
      </c>
      <c r="K1186" s="40" t="s">
        <v>69</v>
      </c>
      <c r="L1186" s="41"/>
      <c r="M1186" s="42" t="str">
        <f>HYPERLINK("https://catalog.onliner.by/xmaslights/neonnight/nn325155", "https://catalog.onliner.by/xmaslights/neonnight/nn325155")</f>
        <v>https://catalog.onliner.by/xmaslights/neonnight/nn325155</v>
      </c>
      <c r="N1186" s="42" t="str">
        <f>HYPERLINK("https://pronto.by/catalog/product/325-155.html", "https://pronto.by/catalog/product/325-155.html")</f>
        <v>https://pronto.by/catalog/product/325-155.html</v>
      </c>
    </row>
    <row r="1187" spans="1:14" customFormat="1" ht="41.4">
      <c r="A1187" s="35" t="s">
        <v>2702</v>
      </c>
      <c r="B1187" s="19" t="s">
        <v>2703</v>
      </c>
      <c r="C1187" s="20" t="s">
        <v>4114</v>
      </c>
      <c r="D1187" s="36" t="s">
        <v>30</v>
      </c>
      <c r="E1187" s="37" t="s">
        <v>3293</v>
      </c>
      <c r="F1187" s="43">
        <v>15.72</v>
      </c>
      <c r="G1187" s="100">
        <f t="shared" si="18"/>
        <v>15.72</v>
      </c>
      <c r="H1187" s="101"/>
      <c r="I1187" s="100">
        <f>G1187*H1187</f>
        <v>0</v>
      </c>
      <c r="J1187" s="39" t="s">
        <v>3664</v>
      </c>
      <c r="K1187" s="40" t="s">
        <v>69</v>
      </c>
      <c r="L1187" s="41"/>
      <c r="M1187" s="42" t="str">
        <f>HYPERLINK("https://catalog.onliner.by/xmaslights/neonnight/nn325156", "https://catalog.onliner.by/xmaslights/neonnight/nn325156")</f>
        <v>https://catalog.onliner.by/xmaslights/neonnight/nn325156</v>
      </c>
      <c r="N1187" s="42" t="str">
        <f>HYPERLINK("https://pronto.by/catalog/product/325-156.html", "https://pronto.by/catalog/product/325-156.html")</f>
        <v>https://pronto.by/catalog/product/325-156.html</v>
      </c>
    </row>
    <row r="1188" spans="1:14" customFormat="1" ht="15.6">
      <c r="A1188" s="81" t="s">
        <v>4115</v>
      </c>
      <c r="B1188" s="67"/>
      <c r="C1188" s="67"/>
      <c r="D1188" s="32"/>
      <c r="E1188" s="32"/>
      <c r="F1188" s="32"/>
      <c r="G1188" s="52"/>
      <c r="H1188" s="52"/>
      <c r="I1188" s="52"/>
      <c r="J1188" s="32"/>
      <c r="K1188" s="32"/>
      <c r="L1188" s="33"/>
      <c r="M1188" s="33"/>
      <c r="N1188" s="34"/>
    </row>
    <row r="1189" spans="1:14" customFormat="1" ht="69">
      <c r="A1189" s="35" t="s">
        <v>2704</v>
      </c>
      <c r="B1189" s="19" t="s">
        <v>2705</v>
      </c>
      <c r="C1189" s="20" t="s">
        <v>2706</v>
      </c>
      <c r="D1189" s="36" t="s">
        <v>28</v>
      </c>
      <c r="E1189" s="37" t="s">
        <v>3273</v>
      </c>
      <c r="F1189" s="43">
        <v>651.9</v>
      </c>
      <c r="G1189" s="100">
        <f t="shared" si="18"/>
        <v>651.9</v>
      </c>
      <c r="H1189" s="101"/>
      <c r="I1189" s="100">
        <f>G1189*H1189</f>
        <v>0</v>
      </c>
      <c r="J1189" s="39" t="s">
        <v>3336</v>
      </c>
      <c r="K1189" s="40" t="s">
        <v>69</v>
      </c>
      <c r="L1189" s="41" t="s">
        <v>4116</v>
      </c>
      <c r="M1189" s="42" t="str">
        <f>HYPERLINK("https://catalog.onliner.by/xmaslights/neonnight/nn256429", "https://catalog.onliner.by/xmaslights/neonnight/nn256429")</f>
        <v>https://catalog.onliner.by/xmaslights/neonnight/nn256429</v>
      </c>
      <c r="N1189" s="42" t="str">
        <f>HYPERLINK("https://pronto.by/catalog/product/256-429.html", "https://pronto.by/catalog/product/256-429.html")</f>
        <v>https://pronto.by/catalog/product/256-429.html</v>
      </c>
    </row>
    <row r="1190" spans="1:14" customFormat="1" ht="69">
      <c r="A1190" s="35" t="s">
        <v>2707</v>
      </c>
      <c r="B1190" s="19" t="s">
        <v>2708</v>
      </c>
      <c r="C1190" s="20" t="s">
        <v>2709</v>
      </c>
      <c r="D1190" s="36" t="s">
        <v>28</v>
      </c>
      <c r="E1190" s="37" t="s">
        <v>3273</v>
      </c>
      <c r="F1190" s="43">
        <v>490.02</v>
      </c>
      <c r="G1190" s="100">
        <f t="shared" si="18"/>
        <v>490.02</v>
      </c>
      <c r="H1190" s="101"/>
      <c r="I1190" s="100">
        <f>G1190*H1190</f>
        <v>0</v>
      </c>
      <c r="J1190" s="39" t="s">
        <v>3336</v>
      </c>
      <c r="K1190" s="40" t="s">
        <v>69</v>
      </c>
      <c r="L1190" s="41" t="s">
        <v>4117</v>
      </c>
      <c r="M1190" s="42" t="str">
        <f>HYPERLINK("https://catalog.onliner.by/xmaslights/neonnight/nn256425", "https://catalog.onliner.by/xmaslights/neonnight/nn256425")</f>
        <v>https://catalog.onliner.by/xmaslights/neonnight/nn256425</v>
      </c>
      <c r="N1190" s="42" t="str">
        <f>HYPERLINK("https://pronto.by/catalog/product/256-425.html", "https://pronto.by/catalog/product/256-425.html")</f>
        <v>https://pronto.by/catalog/product/256-425.html</v>
      </c>
    </row>
    <row r="1191" spans="1:14" customFormat="1" ht="69">
      <c r="A1191" s="35" t="s">
        <v>2710</v>
      </c>
      <c r="B1191" s="19" t="s">
        <v>2711</v>
      </c>
      <c r="C1191" s="20" t="s">
        <v>2712</v>
      </c>
      <c r="D1191" s="36" t="s">
        <v>28</v>
      </c>
      <c r="E1191" s="37" t="s">
        <v>3273</v>
      </c>
      <c r="F1191" s="43">
        <v>497.46</v>
      </c>
      <c r="G1191" s="100">
        <f t="shared" si="18"/>
        <v>497.46</v>
      </c>
      <c r="H1191" s="101"/>
      <c r="I1191" s="100">
        <f>G1191*H1191</f>
        <v>0</v>
      </c>
      <c r="J1191" s="39" t="s">
        <v>3336</v>
      </c>
      <c r="K1191" s="40" t="s">
        <v>69</v>
      </c>
      <c r="L1191" s="41" t="s">
        <v>4118</v>
      </c>
      <c r="M1191" s="42" t="str">
        <f>HYPERLINK("https://catalog.onliner.by/xmaslights/neonnight/nn256426", "https://catalog.onliner.by/xmaslights/neonnight/nn256426")</f>
        <v>https://catalog.onliner.by/xmaslights/neonnight/nn256426</v>
      </c>
      <c r="N1191" s="42" t="str">
        <f>HYPERLINK("https://pronto.by/catalog/product/256-426.html", "https://pronto.by/catalog/product/256-426.html")</f>
        <v>https://pronto.by/catalog/product/256-426.html</v>
      </c>
    </row>
    <row r="1192" spans="1:14" customFormat="1" ht="69">
      <c r="A1192" s="35" t="s">
        <v>2713</v>
      </c>
      <c r="B1192" s="19" t="s">
        <v>2714</v>
      </c>
      <c r="C1192" s="20" t="s">
        <v>2715</v>
      </c>
      <c r="D1192" s="36" t="s">
        <v>28</v>
      </c>
      <c r="E1192" s="37" t="s">
        <v>3283</v>
      </c>
      <c r="F1192" s="43">
        <v>497.46</v>
      </c>
      <c r="G1192" s="100">
        <f t="shared" si="18"/>
        <v>497.46</v>
      </c>
      <c r="H1192" s="101"/>
      <c r="I1192" s="100">
        <f>G1192*H1192</f>
        <v>0</v>
      </c>
      <c r="J1192" s="39" t="s">
        <v>3336</v>
      </c>
      <c r="K1192" s="40" t="s">
        <v>69</v>
      </c>
      <c r="L1192" s="41"/>
      <c r="M1192" s="42" t="s">
        <v>4119</v>
      </c>
      <c r="N1192" s="42" t="str">
        <f>HYPERLINK("https://pronto.by/catalog/prazdnichnaya-svetotehnika/professional-professionalnye-proekty/tayushchie-sosulki/256-427.html", "https://pronto.by/catalog/prazdnichnaya-svetotehnika/professional-professionalnye-proekty/tayushchie-sosulki/256-427.html")</f>
        <v>https://pronto.by/catalog/prazdnichnaya-svetotehnika/professional-professionalnye-proekty/tayushchie-sosulki/256-427.html</v>
      </c>
    </row>
    <row r="1193" spans="1:14" customFormat="1" ht="69">
      <c r="A1193" s="53" t="s">
        <v>4120</v>
      </c>
      <c r="B1193" s="60" t="s">
        <v>4121</v>
      </c>
      <c r="C1193" s="61" t="s">
        <v>4122</v>
      </c>
      <c r="D1193" s="36" t="s">
        <v>28</v>
      </c>
      <c r="E1193" s="37"/>
      <c r="F1193" s="43">
        <v>651.9</v>
      </c>
      <c r="G1193" s="100">
        <f t="shared" si="18"/>
        <v>651.9</v>
      </c>
      <c r="H1193" s="101"/>
      <c r="I1193" s="100">
        <f>G1193*H1193</f>
        <v>0</v>
      </c>
      <c r="J1193" s="39" t="s">
        <v>3336</v>
      </c>
      <c r="K1193" s="40"/>
      <c r="L1193" s="41"/>
      <c r="M1193" s="44"/>
      <c r="N1193" s="44"/>
    </row>
    <row r="1194" spans="1:14" customFormat="1" ht="69">
      <c r="A1194" s="53" t="s">
        <v>4123</v>
      </c>
      <c r="B1194" s="60" t="s">
        <v>4124</v>
      </c>
      <c r="C1194" s="61" t="s">
        <v>4125</v>
      </c>
      <c r="D1194" s="36" t="s">
        <v>28</v>
      </c>
      <c r="E1194" s="37"/>
      <c r="F1194" s="43">
        <v>651.9</v>
      </c>
      <c r="G1194" s="100">
        <f t="shared" si="18"/>
        <v>651.9</v>
      </c>
      <c r="H1194" s="101"/>
      <c r="I1194" s="100">
        <f>G1194*H1194</f>
        <v>0</v>
      </c>
      <c r="J1194" s="39" t="s">
        <v>3336</v>
      </c>
      <c r="K1194" s="40"/>
      <c r="L1194" s="41"/>
      <c r="M1194" s="44"/>
      <c r="N1194" s="44"/>
    </row>
    <row r="1195" spans="1:14" customFormat="1" ht="69">
      <c r="A1195" s="35" t="s">
        <v>2716</v>
      </c>
      <c r="B1195" s="19" t="s">
        <v>2717</v>
      </c>
      <c r="C1195" s="20" t="s">
        <v>2718</v>
      </c>
      <c r="D1195" s="36" t="s">
        <v>28</v>
      </c>
      <c r="E1195" s="37" t="s">
        <v>3308</v>
      </c>
      <c r="F1195" s="43">
        <v>497.46</v>
      </c>
      <c r="G1195" s="100">
        <f t="shared" si="18"/>
        <v>497.46</v>
      </c>
      <c r="H1195" s="101"/>
      <c r="I1195" s="100">
        <f>G1195*H1195</f>
        <v>0</v>
      </c>
      <c r="J1195" s="39" t="s">
        <v>3336</v>
      </c>
      <c r="K1195" s="40" t="s">
        <v>69</v>
      </c>
      <c r="L1195" s="41"/>
      <c r="M1195" s="42" t="s">
        <v>4126</v>
      </c>
      <c r="N1195" s="42" t="str">
        <f>HYPERLINK("https://pronto.by/catalog/prazdnichnaya-svetotehnika/professional-professionalnye-proekty/tayushchie-sosulki/256-423.html", "https://pronto.by/catalog/prazdnichnaya-svetotehnika/professional-professionalnye-proekty/tayushchie-sosulki/256-423.html")</f>
        <v>https://pronto.by/catalog/prazdnichnaya-svetotehnika/professional-professionalnye-proekty/tayushchie-sosulki/256-423.html</v>
      </c>
    </row>
    <row r="1196" spans="1:14" customFormat="1" ht="62.4">
      <c r="A1196" s="35" t="s">
        <v>2719</v>
      </c>
      <c r="B1196" s="19" t="s">
        <v>2720</v>
      </c>
      <c r="C1196" s="20" t="s">
        <v>2721</v>
      </c>
      <c r="D1196" s="36" t="s">
        <v>28</v>
      </c>
      <c r="E1196" s="37" t="s">
        <v>3265</v>
      </c>
      <c r="F1196" s="43">
        <v>85.2</v>
      </c>
      <c r="G1196" s="100">
        <f t="shared" si="18"/>
        <v>85.2</v>
      </c>
      <c r="H1196" s="101"/>
      <c r="I1196" s="100">
        <f>G1196*H1196</f>
        <v>0</v>
      </c>
      <c r="J1196" s="39" t="s">
        <v>3336</v>
      </c>
      <c r="K1196" s="40" t="s">
        <v>41</v>
      </c>
      <c r="L1196" s="41" t="s">
        <v>4127</v>
      </c>
      <c r="M1196" s="42" t="str">
        <f>HYPERLINK("https://catalog.onliner.by/xmaslights/neonnight/nn256163", "https://catalog.onliner.by/xmaslights/neonnight/nn256163")</f>
        <v>https://catalog.onliner.by/xmaslights/neonnight/nn256163</v>
      </c>
      <c r="N1196" s="42" t="str">
        <f>HYPERLINK("https://pronto.by/catalog/product/256-163.html", "https://pronto.by/catalog/product/256-163.html")</f>
        <v>https://pronto.by/catalog/product/256-163.html</v>
      </c>
    </row>
    <row r="1197" spans="1:14" customFormat="1" ht="41.4">
      <c r="A1197" s="35" t="s">
        <v>2722</v>
      </c>
      <c r="B1197" s="19" t="s">
        <v>2723</v>
      </c>
      <c r="C1197" s="20" t="s">
        <v>2724</v>
      </c>
      <c r="D1197" s="36" t="s">
        <v>28</v>
      </c>
      <c r="E1197" s="37" t="s">
        <v>3265</v>
      </c>
      <c r="F1197" s="43">
        <v>32.22</v>
      </c>
      <c r="G1197" s="100">
        <f t="shared" si="18"/>
        <v>32.22</v>
      </c>
      <c r="H1197" s="101"/>
      <c r="I1197" s="100">
        <f>G1197*H1197</f>
        <v>0</v>
      </c>
      <c r="J1197" s="39" t="s">
        <v>3336</v>
      </c>
      <c r="K1197" s="40" t="s">
        <v>41</v>
      </c>
      <c r="L1197" s="41"/>
      <c r="M1197" s="42" t="str">
        <f>HYPERLINK("https://catalog.onliner.by/xmaslights/neonnight/nn256161", "https://catalog.onliner.by/xmaslights/neonnight/nn256161")</f>
        <v>https://catalog.onliner.by/xmaslights/neonnight/nn256161</v>
      </c>
      <c r="N1197" s="42" t="str">
        <f>HYPERLINK("https://pronto.by/catalog/product/256-161.html", "https://pronto.by/catalog/product/256-161.html")</f>
        <v>https://pronto.by/catalog/product/256-161.html</v>
      </c>
    </row>
    <row r="1198" spans="1:14" customFormat="1" ht="41.4">
      <c r="A1198" s="35" t="s">
        <v>2725</v>
      </c>
      <c r="B1198" s="19" t="s">
        <v>2726</v>
      </c>
      <c r="C1198" s="20" t="s">
        <v>2727</v>
      </c>
      <c r="D1198" s="36" t="s">
        <v>28</v>
      </c>
      <c r="E1198" s="37" t="s">
        <v>3265</v>
      </c>
      <c r="F1198" s="43">
        <v>53.580000000000005</v>
      </c>
      <c r="G1198" s="100">
        <f t="shared" si="18"/>
        <v>53.58</v>
      </c>
      <c r="H1198" s="101"/>
      <c r="I1198" s="100">
        <f>G1198*H1198</f>
        <v>0</v>
      </c>
      <c r="J1198" s="39" t="s">
        <v>3336</v>
      </c>
      <c r="K1198" s="40" t="s">
        <v>41</v>
      </c>
      <c r="L1198" s="41"/>
      <c r="M1198" s="42" t="str">
        <f>HYPERLINK("https://catalog.onliner.by/xmaslights/neonnight/nn256162", "https://catalog.onliner.by/xmaslights/neonnight/nn256162")</f>
        <v>https://catalog.onliner.by/xmaslights/neonnight/nn256162</v>
      </c>
      <c r="N1198" s="42" t="str">
        <f>HYPERLINK("https://pronto.by/catalog/product/256-162.html", "https://pronto.by/catalog/product/256-162.html")</f>
        <v>https://pronto.by/catalog/product/256-162.html</v>
      </c>
    </row>
    <row r="1199" spans="1:14" customFormat="1" ht="15.6">
      <c r="A1199" s="81" t="s">
        <v>4128</v>
      </c>
      <c r="B1199" s="67"/>
      <c r="C1199" s="67"/>
      <c r="D1199" s="32"/>
      <c r="E1199" s="32"/>
      <c r="F1199" s="32"/>
      <c r="G1199" s="52"/>
      <c r="H1199" s="52"/>
      <c r="I1199" s="52"/>
      <c r="J1199" s="32"/>
      <c r="K1199" s="32"/>
      <c r="L1199" s="33"/>
      <c r="M1199" s="33"/>
      <c r="N1199" s="34"/>
    </row>
    <row r="1200" spans="1:14" customFormat="1" ht="15.6">
      <c r="A1200" s="81" t="s">
        <v>4129</v>
      </c>
      <c r="B1200" s="67"/>
      <c r="C1200" s="67"/>
      <c r="D1200" s="32"/>
      <c r="E1200" s="32"/>
      <c r="F1200" s="32"/>
      <c r="G1200" s="52"/>
      <c r="H1200" s="52"/>
      <c r="I1200" s="52"/>
      <c r="J1200" s="32"/>
      <c r="K1200" s="32"/>
      <c r="L1200" s="33"/>
      <c r="M1200" s="33"/>
      <c r="N1200" s="34"/>
    </row>
    <row r="1201" spans="1:14" customFormat="1" ht="41.4">
      <c r="A1201" s="35" t="s">
        <v>2728</v>
      </c>
      <c r="B1201" s="19" t="s">
        <v>2729</v>
      </c>
      <c r="C1201" s="20" t="s">
        <v>4130</v>
      </c>
      <c r="D1201" s="36" t="s">
        <v>30</v>
      </c>
      <c r="E1201" s="37" t="s">
        <v>3293</v>
      </c>
      <c r="F1201" s="43">
        <v>46.5</v>
      </c>
      <c r="G1201" s="100">
        <f t="shared" si="18"/>
        <v>46.5</v>
      </c>
      <c r="H1201" s="101"/>
      <c r="I1201" s="100">
        <f>G1201*H1201</f>
        <v>0</v>
      </c>
      <c r="J1201" s="39" t="s">
        <v>3336</v>
      </c>
      <c r="K1201" s="40" t="s">
        <v>69</v>
      </c>
      <c r="L1201" s="41"/>
      <c r="M1201" s="42" t="str">
        <f>HYPERLINK("https://catalog.onliner.by/xmaslights/neonnight/331251", "https://catalog.onliner.by/xmaslights/neonnight/331251")</f>
        <v>https://catalog.onliner.by/xmaslights/neonnight/331251</v>
      </c>
      <c r="N1201" s="42" t="str">
        <f>HYPERLINK("https://pronto.by/catalog/product/331-251.html", "https://pronto.by/catalog/product/331-251.html")</f>
        <v>https://pronto.by/catalog/product/331-251.html</v>
      </c>
    </row>
    <row r="1202" spans="1:14" customFormat="1" ht="41.4">
      <c r="A1202" s="35" t="s">
        <v>2730</v>
      </c>
      <c r="B1202" s="19" t="s">
        <v>2731</v>
      </c>
      <c r="C1202" s="54" t="s">
        <v>4131</v>
      </c>
      <c r="D1202" s="36" t="s">
        <v>30</v>
      </c>
      <c r="E1202" s="37" t="s">
        <v>3294</v>
      </c>
      <c r="F1202" s="43">
        <v>35.699999999999996</v>
      </c>
      <c r="G1202" s="100">
        <f t="shared" si="18"/>
        <v>35.700000000000003</v>
      </c>
      <c r="H1202" s="101"/>
      <c r="I1202" s="100">
        <f>G1202*H1202</f>
        <v>0</v>
      </c>
      <c r="J1202" s="39" t="s">
        <v>3336</v>
      </c>
      <c r="K1202" s="40" t="s">
        <v>69</v>
      </c>
      <c r="L1202" s="41"/>
      <c r="M1202" s="42" t="str">
        <f>HYPERLINK("https://catalog.onliner.by/xmaslights/neonnight/nn331211", "https://catalog.onliner.by/xmaslights/neonnight/nn331211")</f>
        <v>https://catalog.onliner.by/xmaslights/neonnight/nn331211</v>
      </c>
      <c r="N1202" s="42" t="str">
        <f>HYPERLINK("https://pronto.by/catalog/product/331-211.html", "https://pronto.by/catalog/product/331-211.html")</f>
        <v>https://pronto.by/catalog/product/331-211.html</v>
      </c>
    </row>
    <row r="1203" spans="1:14" customFormat="1" ht="41.4">
      <c r="A1203" s="35" t="s">
        <v>2732</v>
      </c>
      <c r="B1203" s="19" t="s">
        <v>2733</v>
      </c>
      <c r="C1203" s="54" t="s">
        <v>4132</v>
      </c>
      <c r="D1203" s="36" t="s">
        <v>30</v>
      </c>
      <c r="E1203" s="37" t="s">
        <v>3294</v>
      </c>
      <c r="F1203" s="43">
        <v>24.12</v>
      </c>
      <c r="G1203" s="100">
        <f t="shared" si="18"/>
        <v>24.12</v>
      </c>
      <c r="H1203" s="101"/>
      <c r="I1203" s="100">
        <f>G1203*H1203</f>
        <v>0</v>
      </c>
      <c r="J1203" s="39" t="s">
        <v>3336</v>
      </c>
      <c r="K1203" s="40" t="s">
        <v>69</v>
      </c>
      <c r="L1203" s="41"/>
      <c r="M1203" s="42" t="str">
        <f>HYPERLINK("https://catalog.onliner.by/xmaslights/neonnight/nn331252", "https://catalog.onliner.by/xmaslights/neonnight/nn331252")</f>
        <v>https://catalog.onliner.by/xmaslights/neonnight/nn331252</v>
      </c>
      <c r="N1203" s="42" t="str">
        <f>HYPERLINK("https://pronto.by/catalog/product/331-252.html", "https://pronto.by/catalog/product/331-252.html")</f>
        <v>https://pronto.by/catalog/product/331-252.html</v>
      </c>
    </row>
    <row r="1204" spans="1:14" customFormat="1" ht="41.4">
      <c r="A1204" s="35" t="s">
        <v>2734</v>
      </c>
      <c r="B1204" s="19" t="s">
        <v>2735</v>
      </c>
      <c r="C1204" s="54" t="s">
        <v>4133</v>
      </c>
      <c r="D1204" s="36" t="s">
        <v>30</v>
      </c>
      <c r="E1204" s="37" t="s">
        <v>3294</v>
      </c>
      <c r="F1204" s="43">
        <v>24.12</v>
      </c>
      <c r="G1204" s="100">
        <f t="shared" si="18"/>
        <v>24.12</v>
      </c>
      <c r="H1204" s="101"/>
      <c r="I1204" s="100">
        <f>G1204*H1204</f>
        <v>0</v>
      </c>
      <c r="J1204" s="39" t="s">
        <v>3336</v>
      </c>
      <c r="K1204" s="40" t="s">
        <v>69</v>
      </c>
      <c r="L1204" s="41"/>
      <c r="M1204" s="42" t="str">
        <f>HYPERLINK("https://catalog.onliner.by/xmaslights/neonnight/nn331212", "https://catalog.onliner.by/xmaslights/neonnight/nn331212")</f>
        <v>https://catalog.onliner.by/xmaslights/neonnight/nn331212</v>
      </c>
      <c r="N1204" s="42" t="str">
        <f>HYPERLINK("https://pronto.by/catalog/product/331-212.html", "https://pronto.by/catalog/product/331-212.html")</f>
        <v>https://pronto.by/catalog/product/331-212.html</v>
      </c>
    </row>
    <row r="1205" spans="1:14" customFormat="1" ht="71.400000000000006">
      <c r="A1205" s="35" t="s">
        <v>4134</v>
      </c>
      <c r="B1205" s="19" t="s">
        <v>4135</v>
      </c>
      <c r="C1205" s="20" t="s">
        <v>4136</v>
      </c>
      <c r="D1205" s="36" t="s">
        <v>30</v>
      </c>
      <c r="E1205" s="37" t="s">
        <v>3293</v>
      </c>
      <c r="F1205" s="43">
        <v>21.12</v>
      </c>
      <c r="G1205" s="100">
        <f t="shared" si="18"/>
        <v>21.12</v>
      </c>
      <c r="H1205" s="101"/>
      <c r="I1205" s="100">
        <f>G1205*H1205</f>
        <v>0</v>
      </c>
      <c r="J1205" s="39" t="s">
        <v>3336</v>
      </c>
      <c r="K1205" s="40" t="s">
        <v>69</v>
      </c>
      <c r="L1205" s="41"/>
      <c r="M1205" s="42" t="str">
        <f>HYPERLINK("https://catalog.onliner.by/xmaslights/neonnight/331231", "https://catalog.onliner.by/xmaslights/neonnight/331231")</f>
        <v>https://catalog.onliner.by/xmaslights/neonnight/331231</v>
      </c>
      <c r="N1205" s="42" t="str">
        <f>HYPERLINK("https://pronto.by/catalog/prazdnichnaya-svetotehnika/professional-professionalnye-proekty/belt-layt/belt-layt-dvuhzhilnyy/331-231.html", "https://pronto.by/catalog/prazdnichnaya-svetotehnika/professional-professionalnye-proekty/belt-layt/belt-layt-dvuhzhilnyy/331-231.html")</f>
        <v>https://pronto.by/catalog/prazdnichnaya-svetotehnika/professional-professionalnye-proekty/belt-layt/belt-layt-dvuhzhilnyy/331-231.html</v>
      </c>
    </row>
    <row r="1206" spans="1:14" customFormat="1" ht="41.4">
      <c r="A1206" s="35" t="s">
        <v>2736</v>
      </c>
      <c r="B1206" s="19" t="s">
        <v>2737</v>
      </c>
      <c r="C1206" s="20" t="s">
        <v>4137</v>
      </c>
      <c r="D1206" s="36" t="s">
        <v>30</v>
      </c>
      <c r="E1206" s="37" t="s">
        <v>3293</v>
      </c>
      <c r="F1206" s="43">
        <v>21.78</v>
      </c>
      <c r="G1206" s="100">
        <f t="shared" si="18"/>
        <v>21.78</v>
      </c>
      <c r="H1206" s="101"/>
      <c r="I1206" s="100">
        <f>G1206*H1206</f>
        <v>0</v>
      </c>
      <c r="J1206" s="39" t="s">
        <v>3336</v>
      </c>
      <c r="K1206" s="40" t="s">
        <v>69</v>
      </c>
      <c r="L1206" s="41"/>
      <c r="M1206" s="42" t="str">
        <f>HYPERLINK("https://catalog.onliner.by/xmaslights/neonnight/nn331213", "https://catalog.onliner.by/xmaslights/neonnight/nn331213")</f>
        <v>https://catalog.onliner.by/xmaslights/neonnight/nn331213</v>
      </c>
      <c r="N1206" s="42" t="str">
        <f>HYPERLINK("https://pronto.by/catalog/product/331-213.html", "https://pronto.by/catalog/product/331-213.html")</f>
        <v>https://pronto.by/catalog/product/331-213.html</v>
      </c>
    </row>
    <row r="1207" spans="1:14" customFormat="1" ht="71.400000000000006">
      <c r="A1207" s="35" t="s">
        <v>2738</v>
      </c>
      <c r="B1207" s="19" t="s">
        <v>2739</v>
      </c>
      <c r="C1207" s="20" t="s">
        <v>4138</v>
      </c>
      <c r="D1207" s="36" t="s">
        <v>30</v>
      </c>
      <c r="E1207" s="37" t="s">
        <v>3294</v>
      </c>
      <c r="F1207" s="43">
        <v>17.28</v>
      </c>
      <c r="G1207" s="100">
        <f t="shared" si="18"/>
        <v>17.28</v>
      </c>
      <c r="H1207" s="101"/>
      <c r="I1207" s="100">
        <f>G1207*H1207</f>
        <v>0</v>
      </c>
      <c r="J1207" s="39" t="s">
        <v>3336</v>
      </c>
      <c r="K1207" s="40" t="s">
        <v>69</v>
      </c>
      <c r="L1207" s="41"/>
      <c r="M1207" s="42" t="str">
        <f>HYPERLINK("https://catalog.onliner.by/xmaslights/neonnight/neon331241", "https://catalog.onliner.by/xmaslights/neonnight/neon331241")</f>
        <v>https://catalog.onliner.by/xmaslights/neonnight/neon331241</v>
      </c>
      <c r="N1207" s="42" t="str">
        <f>HYPERLINK("https://pronto.by/catalog/prazdnichnaya-svetotehnika/professional-professionalnye-proekty/belt-layt/belt-layt-dvuhzhilnyy/331-241.html", "https://pronto.by/catalog/prazdnichnaya-svetotehnika/professional-professionalnye-proekty/belt-layt/belt-layt-dvuhzhilnyy/331-241.html")</f>
        <v>https://pronto.by/catalog/prazdnichnaya-svetotehnika/professional-professionalnye-proekty/belt-layt/belt-layt-dvuhzhilnyy/331-241.html</v>
      </c>
    </row>
    <row r="1208" spans="1:14" customFormat="1" ht="41.4">
      <c r="A1208" s="35" t="s">
        <v>2740</v>
      </c>
      <c r="B1208" s="19" t="s">
        <v>2741</v>
      </c>
      <c r="C1208" s="20" t="s">
        <v>4139</v>
      </c>
      <c r="D1208" s="36" t="s">
        <v>30</v>
      </c>
      <c r="E1208" s="37" t="s">
        <v>3294</v>
      </c>
      <c r="F1208" s="43">
        <v>17.28</v>
      </c>
      <c r="G1208" s="100">
        <f t="shared" si="18"/>
        <v>17.28</v>
      </c>
      <c r="H1208" s="101"/>
      <c r="I1208" s="100">
        <f>G1208*H1208</f>
        <v>0</v>
      </c>
      <c r="J1208" s="39" t="s">
        <v>3336</v>
      </c>
      <c r="K1208" s="40" t="s">
        <v>69</v>
      </c>
      <c r="L1208" s="41"/>
      <c r="M1208" s="44"/>
      <c r="N1208" s="83" t="s">
        <v>4140</v>
      </c>
    </row>
    <row r="1209" spans="1:14" customFormat="1" ht="41.4">
      <c r="A1209" s="35" t="s">
        <v>2742</v>
      </c>
      <c r="B1209" s="19" t="s">
        <v>2743</v>
      </c>
      <c r="C1209" s="20" t="s">
        <v>4141</v>
      </c>
      <c r="D1209" s="36" t="s">
        <v>30</v>
      </c>
      <c r="E1209" s="37" t="s">
        <v>3294</v>
      </c>
      <c r="F1209" s="43">
        <v>28.5</v>
      </c>
      <c r="G1209" s="100">
        <f t="shared" si="18"/>
        <v>28.5</v>
      </c>
      <c r="H1209" s="101"/>
      <c r="I1209" s="100">
        <f>G1209*H1209</f>
        <v>0</v>
      </c>
      <c r="J1209" s="39" t="s">
        <v>3336</v>
      </c>
      <c r="K1209" s="40" t="s">
        <v>69</v>
      </c>
      <c r="L1209" s="41"/>
      <c r="M1209" s="44"/>
      <c r="N1209" s="83" t="s">
        <v>4142</v>
      </c>
    </row>
    <row r="1210" spans="1:14" customFormat="1" ht="41.4">
      <c r="A1210" s="35" t="s">
        <v>2744</v>
      </c>
      <c r="B1210" s="19" t="s">
        <v>2745</v>
      </c>
      <c r="C1210" s="20" t="s">
        <v>4143</v>
      </c>
      <c r="D1210" s="36" t="s">
        <v>30</v>
      </c>
      <c r="E1210" s="37" t="s">
        <v>3294</v>
      </c>
      <c r="F1210" s="43">
        <v>28.5</v>
      </c>
      <c r="G1210" s="100">
        <f t="shared" si="18"/>
        <v>28.5</v>
      </c>
      <c r="H1210" s="101"/>
      <c r="I1210" s="100">
        <f>G1210*H1210</f>
        <v>0</v>
      </c>
      <c r="J1210" s="39" t="s">
        <v>3336</v>
      </c>
      <c r="K1210" s="40" t="s">
        <v>69</v>
      </c>
      <c r="L1210" s="41"/>
      <c r="M1210" s="44"/>
      <c r="N1210" s="83" t="s">
        <v>4144</v>
      </c>
    </row>
    <row r="1211" spans="1:14" customFormat="1" ht="55.2">
      <c r="A1211" s="35" t="s">
        <v>2746</v>
      </c>
      <c r="B1211" s="19" t="s">
        <v>2747</v>
      </c>
      <c r="C1211" s="20" t="s">
        <v>4145</v>
      </c>
      <c r="D1211" s="36" t="s">
        <v>28</v>
      </c>
      <c r="E1211" s="37" t="s">
        <v>3280</v>
      </c>
      <c r="F1211" s="43">
        <v>1045.0800000000002</v>
      </c>
      <c r="G1211" s="100">
        <f t="shared" si="18"/>
        <v>1045.08</v>
      </c>
      <c r="H1211" s="101"/>
      <c r="I1211" s="100">
        <f>G1211*H1211</f>
        <v>0</v>
      </c>
      <c r="J1211" s="39" t="s">
        <v>3336</v>
      </c>
      <c r="K1211" s="40" t="s">
        <v>69</v>
      </c>
      <c r="L1211" s="41"/>
      <c r="M1211" s="42" t="str">
        <f>HYPERLINK("https://catalog.onliner.by/xmaslights/neonnight/neon331210", "https://catalog.onliner.by/xmaslights/neonnight/neon331210")</f>
        <v>https://catalog.onliner.by/xmaslights/neonnight/neon331210</v>
      </c>
      <c r="N1211" s="42" t="str">
        <f>HYPERLINK("https://pronto.by/catalog/product/331-210.html", "https://pronto.by/catalog/product/331-210.html")</f>
        <v>https://pronto.by/catalog/product/331-210.html</v>
      </c>
    </row>
    <row r="1212" spans="1:14" customFormat="1" ht="41.4">
      <c r="A1212" s="53" t="s">
        <v>2748</v>
      </c>
      <c r="B1212" s="60" t="s">
        <v>2749</v>
      </c>
      <c r="C1212" s="61" t="s">
        <v>2750</v>
      </c>
      <c r="D1212" s="36" t="s">
        <v>30</v>
      </c>
      <c r="E1212" s="37" t="s">
        <v>4146</v>
      </c>
      <c r="F1212" s="43">
        <v>35.699999999999996</v>
      </c>
      <c r="G1212" s="100">
        <f t="shared" si="18"/>
        <v>35.700000000000003</v>
      </c>
      <c r="H1212" s="101"/>
      <c r="I1212" s="100">
        <f>G1212*H1212</f>
        <v>0</v>
      </c>
      <c r="J1212" s="39" t="s">
        <v>3336</v>
      </c>
      <c r="K1212" s="40"/>
      <c r="L1212" s="41"/>
      <c r="M1212" s="44"/>
      <c r="N1212" s="44"/>
    </row>
    <row r="1213" spans="1:14" customFormat="1" ht="55.2">
      <c r="A1213" s="53" t="s">
        <v>2751</v>
      </c>
      <c r="B1213" s="60" t="s">
        <v>2752</v>
      </c>
      <c r="C1213" s="61" t="s">
        <v>2753</v>
      </c>
      <c r="D1213" s="36" t="s">
        <v>30</v>
      </c>
      <c r="E1213" s="37" t="s">
        <v>4146</v>
      </c>
      <c r="F1213" s="43">
        <v>25.2</v>
      </c>
      <c r="G1213" s="100">
        <f t="shared" si="18"/>
        <v>25.2</v>
      </c>
      <c r="H1213" s="101"/>
      <c r="I1213" s="100">
        <f>G1213*H1213</f>
        <v>0</v>
      </c>
      <c r="J1213" s="39" t="s">
        <v>3336</v>
      </c>
      <c r="K1213" s="40"/>
      <c r="L1213" s="41"/>
      <c r="M1213" s="44"/>
      <c r="N1213" s="44"/>
    </row>
    <row r="1214" spans="1:14" customFormat="1" ht="55.2">
      <c r="A1214" s="53" t="s">
        <v>2754</v>
      </c>
      <c r="B1214" s="60" t="s">
        <v>2755</v>
      </c>
      <c r="C1214" s="61" t="s">
        <v>2756</v>
      </c>
      <c r="D1214" s="36" t="s">
        <v>30</v>
      </c>
      <c r="E1214" s="37" t="s">
        <v>4146</v>
      </c>
      <c r="F1214" s="43">
        <v>15.120000000000001</v>
      </c>
      <c r="G1214" s="100">
        <f t="shared" si="18"/>
        <v>15.12</v>
      </c>
      <c r="H1214" s="101"/>
      <c r="I1214" s="100">
        <f>G1214*H1214</f>
        <v>0</v>
      </c>
      <c r="J1214" s="39" t="s">
        <v>3336</v>
      </c>
      <c r="K1214" s="40"/>
      <c r="L1214" s="41"/>
      <c r="M1214" s="44"/>
      <c r="N1214" s="44"/>
    </row>
    <row r="1215" spans="1:14" customFormat="1" ht="55.2">
      <c r="A1215" s="53" t="s">
        <v>2757</v>
      </c>
      <c r="B1215" s="60" t="s">
        <v>2758</v>
      </c>
      <c r="C1215" s="61" t="s">
        <v>2759</v>
      </c>
      <c r="D1215" s="36" t="s">
        <v>30</v>
      </c>
      <c r="E1215" s="37" t="s">
        <v>4146</v>
      </c>
      <c r="F1215" s="43">
        <v>15.120000000000001</v>
      </c>
      <c r="G1215" s="100">
        <f t="shared" si="18"/>
        <v>15.12</v>
      </c>
      <c r="H1215" s="101"/>
      <c r="I1215" s="100">
        <f>G1215*H1215</f>
        <v>0</v>
      </c>
      <c r="J1215" s="39" t="s">
        <v>3336</v>
      </c>
      <c r="K1215" s="40"/>
      <c r="L1215" s="41"/>
      <c r="M1215" s="44"/>
      <c r="N1215" s="44"/>
    </row>
    <row r="1216" spans="1:14" customFormat="1" ht="55.2">
      <c r="A1216" s="35" t="s">
        <v>2760</v>
      </c>
      <c r="B1216" s="19" t="s">
        <v>2761</v>
      </c>
      <c r="C1216" s="20" t="s">
        <v>4147</v>
      </c>
      <c r="D1216" s="36" t="s">
        <v>30</v>
      </c>
      <c r="E1216" s="37" t="s">
        <v>3293</v>
      </c>
      <c r="F1216" s="43">
        <v>30.240000000000002</v>
      </c>
      <c r="G1216" s="100">
        <f t="shared" si="18"/>
        <v>30.24</v>
      </c>
      <c r="H1216" s="101"/>
      <c r="I1216" s="100">
        <f>G1216*H1216</f>
        <v>0</v>
      </c>
      <c r="J1216" s="39" t="s">
        <v>3336</v>
      </c>
      <c r="K1216" s="40" t="s">
        <v>41</v>
      </c>
      <c r="L1216" s="41"/>
      <c r="M1216" s="42" t="str">
        <f>HYPERLINK("https://catalog.onliner.by/xmaslights/neonnight/nn331345", "https://catalog.onliner.by/xmaslights/neonnight/nn331345")</f>
        <v>https://catalog.onliner.by/xmaslights/neonnight/nn331345</v>
      </c>
      <c r="N1216" s="42" t="str">
        <f>HYPERLINK("https://pronto.by/catalog/product/331-345.html", "https://pronto.by/catalog/product/331-345.html")</f>
        <v>https://pronto.by/catalog/product/331-345.html</v>
      </c>
    </row>
    <row r="1217" spans="1:14" customFormat="1" ht="55.2">
      <c r="A1217" s="35" t="s">
        <v>2762</v>
      </c>
      <c r="B1217" s="19" t="s">
        <v>2763</v>
      </c>
      <c r="C1217" s="20" t="s">
        <v>4148</v>
      </c>
      <c r="D1217" s="36" t="s">
        <v>30</v>
      </c>
      <c r="E1217" s="37" t="s">
        <v>3293</v>
      </c>
      <c r="F1217" s="43">
        <v>28.98</v>
      </c>
      <c r="G1217" s="100">
        <f t="shared" si="18"/>
        <v>28.98</v>
      </c>
      <c r="H1217" s="101"/>
      <c r="I1217" s="100">
        <f>G1217*H1217</f>
        <v>0</v>
      </c>
      <c r="J1217" s="39" t="s">
        <v>3336</v>
      </c>
      <c r="K1217" s="40" t="s">
        <v>41</v>
      </c>
      <c r="L1217" s="41"/>
      <c r="M1217" s="42" t="str">
        <f>HYPERLINK("https://catalog.onliner.by/xmaslights/neonnight/nn331346", "https://catalog.onliner.by/xmaslights/neonnight/nn331346")</f>
        <v>https://catalog.onliner.by/xmaslights/neonnight/nn331346</v>
      </c>
      <c r="N1217" s="42" t="str">
        <f>HYPERLINK("https://pronto.by/catalog/product/331-346.html", "https://pronto.by/catalog/product/331-346.html")</f>
        <v>https://pronto.by/catalog/product/331-346.html</v>
      </c>
    </row>
    <row r="1218" spans="1:14" customFormat="1" ht="15.6">
      <c r="A1218" s="81" t="s">
        <v>4149</v>
      </c>
      <c r="B1218" s="67"/>
      <c r="C1218" s="67"/>
      <c r="D1218" s="32"/>
      <c r="E1218" s="32"/>
      <c r="F1218" s="32"/>
      <c r="G1218" s="52"/>
      <c r="H1218" s="52"/>
      <c r="I1218" s="52"/>
      <c r="J1218" s="32"/>
      <c r="K1218" s="32"/>
      <c r="L1218" s="33"/>
      <c r="M1218" s="33"/>
      <c r="N1218" s="34"/>
    </row>
    <row r="1219" spans="1:14" customFormat="1" ht="41.4">
      <c r="A1219" s="35" t="s">
        <v>2764</v>
      </c>
      <c r="B1219" s="19" t="s">
        <v>2765</v>
      </c>
      <c r="C1219" s="20" t="s">
        <v>2766</v>
      </c>
      <c r="D1219" s="36" t="s">
        <v>30</v>
      </c>
      <c r="E1219" s="37" t="s">
        <v>3293</v>
      </c>
      <c r="F1219" s="43">
        <v>28.92</v>
      </c>
      <c r="G1219" s="100">
        <f t="shared" si="18"/>
        <v>28.92</v>
      </c>
      <c r="H1219" s="101"/>
      <c r="I1219" s="100">
        <f>G1219*H1219</f>
        <v>0</v>
      </c>
      <c r="J1219" s="39" t="s">
        <v>3336</v>
      </c>
      <c r="K1219" s="40" t="s">
        <v>41</v>
      </c>
      <c r="L1219" s="41"/>
      <c r="M1219" s="42" t="str">
        <f>HYPERLINK("https://catalog.onliner.by/xmaslights/neonnight/nn331112", "https://catalog.onliner.by/xmaslights/neonnight/nn331112")</f>
        <v>https://catalog.onliner.by/xmaslights/neonnight/nn331112</v>
      </c>
      <c r="N1219" s="42" t="str">
        <f>HYPERLINK("https://pronto.by/catalog/product/331-112.html", "https://pronto.by/catalog/product/331-112.html")</f>
        <v>https://pronto.by/catalog/product/331-112.html</v>
      </c>
    </row>
    <row r="1220" spans="1:14" customFormat="1" ht="41.4">
      <c r="A1220" s="35" t="s">
        <v>2767</v>
      </c>
      <c r="B1220" s="19" t="s">
        <v>2768</v>
      </c>
      <c r="C1220" s="20" t="s">
        <v>2769</v>
      </c>
      <c r="D1220" s="36" t="s">
        <v>30</v>
      </c>
      <c r="E1220" s="37" t="s">
        <v>3293</v>
      </c>
      <c r="F1220" s="43">
        <v>59.160000000000004</v>
      </c>
      <c r="G1220" s="100">
        <f t="shared" si="18"/>
        <v>59.16</v>
      </c>
      <c r="H1220" s="101"/>
      <c r="I1220" s="100">
        <f>G1220*H1220</f>
        <v>0</v>
      </c>
      <c r="J1220" s="39" t="s">
        <v>3336</v>
      </c>
      <c r="K1220" s="40" t="s">
        <v>41</v>
      </c>
      <c r="L1220" s="41"/>
      <c r="M1220" s="42" t="str">
        <f>HYPERLINK("https://catalog.onliner.by/xmaslights/neonnight/nn331221", "https://catalog.onliner.by/xmaslights/neonnight/nn331221")</f>
        <v>https://catalog.onliner.by/xmaslights/neonnight/nn331221</v>
      </c>
      <c r="N1220" s="42" t="str">
        <f>HYPERLINK("https://pronto.by/catalog/product/331-221.html", "https://pronto.by/catalog/product/331-221.html")</f>
        <v>https://pronto.by/catalog/product/331-221.html</v>
      </c>
    </row>
    <row r="1221" spans="1:14" customFormat="1" ht="15.6">
      <c r="A1221" s="81" t="s">
        <v>4150</v>
      </c>
      <c r="B1221" s="67"/>
      <c r="C1221" s="67"/>
      <c r="D1221" s="32"/>
      <c r="E1221" s="32"/>
      <c r="F1221" s="32"/>
      <c r="G1221" s="52"/>
      <c r="H1221" s="52"/>
      <c r="I1221" s="52"/>
      <c r="J1221" s="32"/>
      <c r="K1221" s="32"/>
      <c r="L1221" s="33"/>
      <c r="M1221" s="33"/>
      <c r="N1221" s="34"/>
    </row>
    <row r="1222" spans="1:14" customFormat="1" ht="41.4">
      <c r="A1222" s="35" t="s">
        <v>2770</v>
      </c>
      <c r="B1222" s="19" t="s">
        <v>2771</v>
      </c>
      <c r="C1222" s="20" t="s">
        <v>2772</v>
      </c>
      <c r="D1222" s="36" t="s">
        <v>28</v>
      </c>
      <c r="E1222" s="37" t="s">
        <v>3268</v>
      </c>
      <c r="F1222" s="43">
        <v>3.84</v>
      </c>
      <c r="G1222" s="100">
        <f t="shared" si="18"/>
        <v>3.84</v>
      </c>
      <c r="H1222" s="101"/>
      <c r="I1222" s="100">
        <f>G1222*H1222</f>
        <v>0</v>
      </c>
      <c r="J1222" s="39" t="s">
        <v>3336</v>
      </c>
      <c r="K1222" s="40" t="s">
        <v>41</v>
      </c>
      <c r="L1222" s="41"/>
      <c r="M1222" s="44" t="e">
        <f>VLOOKUP(A1222,#REF!,4,0)</f>
        <v>#REF!</v>
      </c>
      <c r="N1222" s="42" t="str">
        <f>HYPERLINK("https://pronto.by/catalog/product/331-008.html", "https://pronto.by/catalog/product/331-008.html")</f>
        <v>https://pronto.by/catalog/product/331-008.html</v>
      </c>
    </row>
    <row r="1223" spans="1:14" customFormat="1" ht="41.4">
      <c r="A1223" s="35" t="s">
        <v>2773</v>
      </c>
      <c r="B1223" s="19" t="s">
        <v>2774</v>
      </c>
      <c r="C1223" s="20" t="s">
        <v>2775</v>
      </c>
      <c r="D1223" s="36" t="s">
        <v>28</v>
      </c>
      <c r="E1223" s="37" t="s">
        <v>3268</v>
      </c>
      <c r="F1223" s="43">
        <v>6.12</v>
      </c>
      <c r="G1223" s="100">
        <f t="shared" si="18"/>
        <v>6.12</v>
      </c>
      <c r="H1223" s="101"/>
      <c r="I1223" s="100">
        <f>G1223*H1223</f>
        <v>0</v>
      </c>
      <c r="J1223" s="39" t="s">
        <v>3336</v>
      </c>
      <c r="K1223" s="40" t="s">
        <v>41</v>
      </c>
      <c r="L1223" s="41"/>
      <c r="M1223" s="44" t="e">
        <f>VLOOKUP(A1223,#REF!,4,0)</f>
        <v>#REF!</v>
      </c>
      <c r="N1223" s="42" t="str">
        <f>HYPERLINK("https://pronto.by/catalog/product/331-005.html", "https://pronto.by/catalog/product/331-005.html")</f>
        <v>https://pronto.by/catalog/product/331-005.html</v>
      </c>
    </row>
    <row r="1224" spans="1:14" customFormat="1" ht="69">
      <c r="A1224" s="35" t="s">
        <v>2776</v>
      </c>
      <c r="B1224" s="19" t="s">
        <v>2777</v>
      </c>
      <c r="C1224" s="20" t="s">
        <v>2778</v>
      </c>
      <c r="D1224" s="36" t="s">
        <v>28</v>
      </c>
      <c r="E1224" s="37" t="s">
        <v>3280</v>
      </c>
      <c r="F1224" s="43">
        <v>1242.18</v>
      </c>
      <c r="G1224" s="100">
        <f t="shared" si="18"/>
        <v>1242.18</v>
      </c>
      <c r="H1224" s="101"/>
      <c r="I1224" s="100">
        <f>G1224*H1224</f>
        <v>0</v>
      </c>
      <c r="J1224" s="39" t="s">
        <v>3336</v>
      </c>
      <c r="K1224" s="40" t="s">
        <v>41</v>
      </c>
      <c r="L1224" s="41"/>
      <c r="M1224" s="42" t="s">
        <v>4151</v>
      </c>
      <c r="N1224" s="42" t="str">
        <f>HYPERLINK("https://pronto.by/catalog/product/332-118.html", "https://pronto.by/catalog/product/332-118.html")</f>
        <v>https://pronto.by/catalog/product/332-118.html</v>
      </c>
    </row>
    <row r="1225" spans="1:14" customFormat="1" ht="69">
      <c r="A1225" s="35" t="s">
        <v>2779</v>
      </c>
      <c r="B1225" s="19" t="s">
        <v>2780</v>
      </c>
      <c r="C1225" s="20" t="s">
        <v>2781</v>
      </c>
      <c r="D1225" s="36" t="s">
        <v>28</v>
      </c>
      <c r="E1225" s="37" t="s">
        <v>3280</v>
      </c>
      <c r="F1225" s="43">
        <v>678.84</v>
      </c>
      <c r="G1225" s="100">
        <f t="shared" si="18"/>
        <v>678.84</v>
      </c>
      <c r="H1225" s="101"/>
      <c r="I1225" s="100">
        <f>G1225*H1225</f>
        <v>0</v>
      </c>
      <c r="J1225" s="39" t="s">
        <v>3336</v>
      </c>
      <c r="K1225" s="40" t="s">
        <v>41</v>
      </c>
      <c r="L1225" s="41"/>
      <c r="M1225" s="42" t="s">
        <v>4152</v>
      </c>
      <c r="N1225" s="42" t="str">
        <f>HYPERLINK("https://pronto.by/catalog/product/332-116.html", "https://pronto.by/catalog/product/332-116.html")</f>
        <v>https://pronto.by/catalog/product/332-116.html</v>
      </c>
    </row>
    <row r="1226" spans="1:14" customFormat="1" ht="82.8">
      <c r="A1226" s="35" t="s">
        <v>2782</v>
      </c>
      <c r="B1226" s="19" t="s">
        <v>2783</v>
      </c>
      <c r="C1226" s="20" t="s">
        <v>2784</v>
      </c>
      <c r="D1226" s="36" t="s">
        <v>28</v>
      </c>
      <c r="E1226" s="37" t="s">
        <v>3280</v>
      </c>
      <c r="F1226" s="43">
        <v>1466.88</v>
      </c>
      <c r="G1226" s="100">
        <f t="shared" si="18"/>
        <v>1466.88</v>
      </c>
      <c r="H1226" s="101"/>
      <c r="I1226" s="100">
        <f>G1226*H1226</f>
        <v>0</v>
      </c>
      <c r="J1226" s="39" t="s">
        <v>3336</v>
      </c>
      <c r="K1226" s="40" t="s">
        <v>41</v>
      </c>
      <c r="L1226" s="41"/>
      <c r="M1226" s="42" t="s">
        <v>4153</v>
      </c>
      <c r="N1226" s="42" t="str">
        <f>HYPERLINK("https://pronto.by/catalog/product/332-119.html", "https://pronto.by/catalog/product/332-119.html")</f>
        <v>https://pronto.by/catalog/product/332-119.html</v>
      </c>
    </row>
    <row r="1227" spans="1:14" customFormat="1" ht="82.8">
      <c r="A1227" s="35" t="s">
        <v>2785</v>
      </c>
      <c r="B1227" s="19">
        <v>4601004125582</v>
      </c>
      <c r="C1227" s="20" t="s">
        <v>2786</v>
      </c>
      <c r="D1227" s="36" t="s">
        <v>28</v>
      </c>
      <c r="E1227" s="37" t="s">
        <v>3280</v>
      </c>
      <c r="F1227" s="43">
        <v>1490.7</v>
      </c>
      <c r="G1227" s="100">
        <f t="shared" si="18"/>
        <v>1490.7</v>
      </c>
      <c r="H1227" s="101"/>
      <c r="I1227" s="100">
        <f>G1227*H1227</f>
        <v>0</v>
      </c>
      <c r="J1227" s="39" t="s">
        <v>3336</v>
      </c>
      <c r="K1227" s="40" t="s">
        <v>41</v>
      </c>
      <c r="L1227" s="41"/>
      <c r="M1227" s="42" t="s">
        <v>4154</v>
      </c>
      <c r="N1227" s="42" t="str">
        <f>HYPERLINK("https://pronto.by/catalog/product/332-120.html", "https://pronto.by/catalog/product/332-120.html")</f>
        <v>https://pronto.by/catalog/product/332-120.html</v>
      </c>
    </row>
    <row r="1228" spans="1:14" customFormat="1" ht="55.2">
      <c r="A1228" s="35" t="s">
        <v>2787</v>
      </c>
      <c r="B1228" s="19" t="s">
        <v>2788</v>
      </c>
      <c r="C1228" s="20" t="s">
        <v>2789</v>
      </c>
      <c r="D1228" s="36" t="s">
        <v>28</v>
      </c>
      <c r="E1228" s="37" t="s">
        <v>3280</v>
      </c>
      <c r="F1228" s="43">
        <v>413.76</v>
      </c>
      <c r="G1228" s="100">
        <f t="shared" si="18"/>
        <v>413.76</v>
      </c>
      <c r="H1228" s="101"/>
      <c r="I1228" s="100">
        <f>G1228*H1228</f>
        <v>0</v>
      </c>
      <c r="J1228" s="39" t="s">
        <v>3336</v>
      </c>
      <c r="K1228" s="40" t="s">
        <v>41</v>
      </c>
      <c r="L1228" s="41"/>
      <c r="M1228" s="42" t="s">
        <v>4155</v>
      </c>
      <c r="N1228" s="42" t="str">
        <f>HYPERLINK("https://pronto.by/catalog/product/332-115.html", "https://pronto.by/catalog/product/332-115.html")</f>
        <v>https://pronto.by/catalog/product/332-115.html</v>
      </c>
    </row>
    <row r="1229" spans="1:14" customFormat="1" ht="55.2">
      <c r="A1229" s="35" t="s">
        <v>2790</v>
      </c>
      <c r="B1229" s="19" t="s">
        <v>2791</v>
      </c>
      <c r="C1229" s="20" t="s">
        <v>2792</v>
      </c>
      <c r="D1229" s="36" t="s">
        <v>28</v>
      </c>
      <c r="E1229" s="37" t="s">
        <v>3265</v>
      </c>
      <c r="F1229" s="43">
        <v>35.82</v>
      </c>
      <c r="G1229" s="100">
        <f t="shared" si="18"/>
        <v>35.82</v>
      </c>
      <c r="H1229" s="101"/>
      <c r="I1229" s="100">
        <f>G1229*H1229</f>
        <v>0</v>
      </c>
      <c r="J1229" s="39" t="s">
        <v>3336</v>
      </c>
      <c r="K1229" s="40" t="s">
        <v>41</v>
      </c>
      <c r="L1229" s="41"/>
      <c r="M1229" s="42" t="str">
        <f>HYPERLINK("https://catalog.onliner.by/xmaslights/neonnight/neon331003", "https://catalog.onliner.by/xmaslights/neonnight/neon331003")</f>
        <v>https://catalog.onliner.by/xmaslights/neonnight/neon331003</v>
      </c>
      <c r="N1229" s="42" t="str">
        <f>HYPERLINK("https://pronto.by/catalog/product/331-003.html", "https://pronto.by/catalog/product/331-003.html")</f>
        <v>https://pronto.by/catalog/product/331-003.html</v>
      </c>
    </row>
    <row r="1230" spans="1:14" customFormat="1" ht="41.4">
      <c r="A1230" s="35" t="s">
        <v>2793</v>
      </c>
      <c r="B1230" s="19" t="s">
        <v>2794</v>
      </c>
      <c r="C1230" s="20" t="s">
        <v>2795</v>
      </c>
      <c r="D1230" s="36" t="s">
        <v>28</v>
      </c>
      <c r="E1230" s="37" t="s">
        <v>3278</v>
      </c>
      <c r="F1230" s="43">
        <v>6.660000000000001</v>
      </c>
      <c r="G1230" s="100">
        <f t="shared" si="18"/>
        <v>6.66</v>
      </c>
      <c r="H1230" s="101"/>
      <c r="I1230" s="100">
        <f>G1230*H1230</f>
        <v>0</v>
      </c>
      <c r="J1230" s="39" t="s">
        <v>3336</v>
      </c>
      <c r="K1230" s="40" t="s">
        <v>41</v>
      </c>
      <c r="L1230" s="41"/>
      <c r="M1230" s="42" t="str">
        <f>HYPERLINK("https://catalog.onliner.by/xmaslights/neonnight/neon331001", "https://catalog.onliner.by/xmaslights/neonnight/neon331001")</f>
        <v>https://catalog.onliner.by/xmaslights/neonnight/neon331001</v>
      </c>
      <c r="N1230" s="42" t="str">
        <f>HYPERLINK("https://pronto.by/catalog/product/331-001.html", "https://pronto.by/catalog/product/331-001.html")</f>
        <v>https://pronto.by/catalog/product/331-001.html</v>
      </c>
    </row>
    <row r="1231" spans="1:14" customFormat="1" ht="41.4">
      <c r="A1231" s="35" t="s">
        <v>2796</v>
      </c>
      <c r="B1231" s="19" t="s">
        <v>2797</v>
      </c>
      <c r="C1231" s="20" t="s">
        <v>4156</v>
      </c>
      <c r="D1231" s="36" t="s">
        <v>28</v>
      </c>
      <c r="E1231" s="37" t="s">
        <v>3269</v>
      </c>
      <c r="F1231" s="43">
        <v>13.320000000000002</v>
      </c>
      <c r="G1231" s="100">
        <f t="shared" ref="G1231:G1294" si="19">ROUND(F1231-F1231*G$3,2)</f>
        <v>13.32</v>
      </c>
      <c r="H1231" s="101"/>
      <c r="I1231" s="100">
        <f>G1231*H1231</f>
        <v>0</v>
      </c>
      <c r="J1231" s="39" t="s">
        <v>3336</v>
      </c>
      <c r="K1231" s="40" t="s">
        <v>41</v>
      </c>
      <c r="L1231" s="41"/>
      <c r="M1231" s="42" t="str">
        <f>HYPERLINK("https://catalog.onliner.by/xmaslights/neonnight/neon331012", "https://catalog.onliner.by/xmaslights/neonnight/neon331012")</f>
        <v>https://catalog.onliner.by/xmaslights/neonnight/neon331012</v>
      </c>
      <c r="N1231" s="42" t="str">
        <f>HYPERLINK("https://pronto.by/catalog/product/331-012.html", "https://pronto.by/catalog/product/331-012.html")</f>
        <v>https://pronto.by/catalog/product/331-012.html</v>
      </c>
    </row>
    <row r="1232" spans="1:14" customFormat="1" ht="41.4">
      <c r="A1232" s="35" t="s">
        <v>2798</v>
      </c>
      <c r="B1232" s="19" t="s">
        <v>2799</v>
      </c>
      <c r="C1232" s="20" t="s">
        <v>4157</v>
      </c>
      <c r="D1232" s="36" t="s">
        <v>28</v>
      </c>
      <c r="E1232" s="37" t="s">
        <v>3269</v>
      </c>
      <c r="F1232" s="43">
        <v>14.7</v>
      </c>
      <c r="G1232" s="100">
        <f t="shared" si="19"/>
        <v>14.7</v>
      </c>
      <c r="H1232" s="101"/>
      <c r="I1232" s="100">
        <f>G1232*H1232</f>
        <v>0</v>
      </c>
      <c r="J1232" s="39" t="s">
        <v>3336</v>
      </c>
      <c r="K1232" s="40" t="s">
        <v>41</v>
      </c>
      <c r="L1232" s="41"/>
      <c r="M1232" s="42" t="str">
        <f>HYPERLINK("https://catalog.onliner.by/xmaslights/neonnight/neon331013", "https://catalog.onliner.by/xmaslights/neonnight/neon331013")</f>
        <v>https://catalog.onliner.by/xmaslights/neonnight/neon331013</v>
      </c>
      <c r="N1232" s="42" t="str">
        <f>HYPERLINK("https://pronto.by/catalog/product/331-013.html", "https://pronto.by/catalog/product/331-013.html")</f>
        <v>https://pronto.by/catalog/product/331-013.html</v>
      </c>
    </row>
    <row r="1233" spans="1:14" customFormat="1" ht="41.4">
      <c r="A1233" s="35" t="s">
        <v>2800</v>
      </c>
      <c r="B1233" s="19" t="s">
        <v>2801</v>
      </c>
      <c r="C1233" s="20" t="s">
        <v>4158</v>
      </c>
      <c r="D1233" s="36" t="s">
        <v>28</v>
      </c>
      <c r="E1233" s="37" t="s">
        <v>3269</v>
      </c>
      <c r="F1233" s="43">
        <v>16.740000000000002</v>
      </c>
      <c r="G1233" s="100">
        <f t="shared" si="19"/>
        <v>16.739999999999998</v>
      </c>
      <c r="H1233" s="101"/>
      <c r="I1233" s="100">
        <f>G1233*H1233</f>
        <v>0</v>
      </c>
      <c r="J1233" s="39" t="s">
        <v>3336</v>
      </c>
      <c r="K1233" s="40" t="s">
        <v>41</v>
      </c>
      <c r="L1233" s="41"/>
      <c r="M1233" s="42" t="str">
        <f>HYPERLINK("https://catalog.onliner.by/xmaslights/neonnight/neon331015", "https://catalog.onliner.by/xmaslights/neonnight/neon331015")</f>
        <v>https://catalog.onliner.by/xmaslights/neonnight/neon331015</v>
      </c>
      <c r="N1233" s="42" t="str">
        <f>HYPERLINK("https://pronto.by/catalog/product/331-015.html", "https://pronto.by/catalog/product/331-015.html")</f>
        <v>https://pronto.by/catalog/product/331-015.html</v>
      </c>
    </row>
    <row r="1234" spans="1:14" customFormat="1" ht="15.6">
      <c r="A1234" s="81" t="s">
        <v>4159</v>
      </c>
      <c r="B1234" s="67"/>
      <c r="C1234" s="67"/>
      <c r="D1234" s="32"/>
      <c r="E1234" s="32"/>
      <c r="F1234" s="32"/>
      <c r="G1234" s="52"/>
      <c r="H1234" s="52"/>
      <c r="I1234" s="52"/>
      <c r="J1234" s="32"/>
      <c r="K1234" s="32"/>
      <c r="L1234" s="33"/>
      <c r="M1234" s="33"/>
      <c r="N1234" s="34"/>
    </row>
    <row r="1235" spans="1:14" customFormat="1" ht="15.6">
      <c r="A1235" s="81" t="s">
        <v>4160</v>
      </c>
      <c r="B1235" s="67"/>
      <c r="C1235" s="67"/>
      <c r="D1235" s="32"/>
      <c r="E1235" s="32"/>
      <c r="F1235" s="32"/>
      <c r="G1235" s="52"/>
      <c r="H1235" s="52"/>
      <c r="I1235" s="52"/>
      <c r="J1235" s="32"/>
      <c r="K1235" s="32"/>
      <c r="L1235" s="33"/>
      <c r="M1235" s="33"/>
      <c r="N1235" s="34"/>
    </row>
    <row r="1236" spans="1:14" customFormat="1" ht="41.4">
      <c r="A1236" s="35" t="s">
        <v>4161</v>
      </c>
      <c r="B1236" s="19" t="s">
        <v>4162</v>
      </c>
      <c r="C1236" s="20" t="s">
        <v>4163</v>
      </c>
      <c r="D1236" s="36" t="s">
        <v>28</v>
      </c>
      <c r="E1236" s="37" t="s">
        <v>3301</v>
      </c>
      <c r="F1236" s="43">
        <v>3.4800000000000004</v>
      </c>
      <c r="G1236" s="100">
        <f t="shared" si="19"/>
        <v>3.48</v>
      </c>
      <c r="H1236" s="101"/>
      <c r="I1236" s="100">
        <f>G1236*H1236</f>
        <v>0</v>
      </c>
      <c r="J1236" s="39" t="s">
        <v>3336</v>
      </c>
      <c r="K1236" s="40" t="s">
        <v>41</v>
      </c>
      <c r="L1236" s="41"/>
      <c r="M1236" s="42" t="str">
        <f>HYPERLINK("https://catalog.onliner.by/xmaslights/neonnight/401111", "https://catalog.onliner.by/xmaslights/neonnight/401111")</f>
        <v>https://catalog.onliner.by/xmaslights/neonnight/401111</v>
      </c>
      <c r="N1236" s="42" t="str">
        <f>HYPERLINK("https://pronto.by/catalog/product/401-111.html", "https://pronto.by/catalog/product/401-111.html")</f>
        <v>https://pronto.by/catalog/product/401-111.html</v>
      </c>
    </row>
    <row r="1237" spans="1:14" customFormat="1" ht="41.4">
      <c r="A1237" s="35" t="s">
        <v>4164</v>
      </c>
      <c r="B1237" s="19" t="s">
        <v>4165</v>
      </c>
      <c r="C1237" s="20" t="s">
        <v>4166</v>
      </c>
      <c r="D1237" s="36" t="s">
        <v>28</v>
      </c>
      <c r="E1237" s="37" t="s">
        <v>3301</v>
      </c>
      <c r="F1237" s="43">
        <v>3.4800000000000004</v>
      </c>
      <c r="G1237" s="100">
        <f t="shared" si="19"/>
        <v>3.48</v>
      </c>
      <c r="H1237" s="101"/>
      <c r="I1237" s="100">
        <f>G1237*H1237</f>
        <v>0</v>
      </c>
      <c r="J1237" s="39" t="s">
        <v>3336</v>
      </c>
      <c r="K1237" s="40" t="s">
        <v>41</v>
      </c>
      <c r="L1237" s="41"/>
      <c r="M1237" s="42" t="str">
        <f>HYPERLINK("https://catalog.onliner.by/xmaslights/neonnight/401114", "https://catalog.onliner.by/xmaslights/neonnight/401114")</f>
        <v>https://catalog.onliner.by/xmaslights/neonnight/401114</v>
      </c>
      <c r="N1237" s="42" t="str">
        <f>HYPERLINK("https://pronto.by/catalog/product/401-114.html", "https://pronto.by/catalog/product/401-114.html")</f>
        <v>https://pronto.by/catalog/product/401-114.html</v>
      </c>
    </row>
    <row r="1238" spans="1:14" customFormat="1" ht="41.4">
      <c r="A1238" s="35" t="s">
        <v>4167</v>
      </c>
      <c r="B1238" s="19" t="s">
        <v>4168</v>
      </c>
      <c r="C1238" s="20" t="s">
        <v>4169</v>
      </c>
      <c r="D1238" s="36" t="s">
        <v>28</v>
      </c>
      <c r="E1238" s="37" t="s">
        <v>3301</v>
      </c>
      <c r="F1238" s="43">
        <v>3.18</v>
      </c>
      <c r="G1238" s="100">
        <f t="shared" si="19"/>
        <v>3.18</v>
      </c>
      <c r="H1238" s="101"/>
      <c r="I1238" s="100">
        <f>G1238*H1238</f>
        <v>0</v>
      </c>
      <c r="J1238" s="39" t="s">
        <v>3336</v>
      </c>
      <c r="K1238" s="40" t="s">
        <v>41</v>
      </c>
      <c r="L1238" s="41"/>
      <c r="M1238" s="42" t="str">
        <f>HYPERLINK("https://catalog.onliner.by/xmaslights/neonnight/401112", "https://catalog.onliner.by/xmaslights/neonnight/401112")</f>
        <v>https://catalog.onliner.by/xmaslights/neonnight/401112</v>
      </c>
      <c r="N1238" s="42" t="str">
        <f>HYPERLINK("https://pronto.by/catalog/product/401-112.html", "https://pronto.by/catalog/product/401-112.html")</f>
        <v>https://pronto.by/catalog/product/401-112.html</v>
      </c>
    </row>
    <row r="1239" spans="1:14" customFormat="1" ht="41.4">
      <c r="A1239" s="35" t="s">
        <v>4170</v>
      </c>
      <c r="B1239" s="19" t="s">
        <v>4171</v>
      </c>
      <c r="C1239" s="20" t="s">
        <v>4172</v>
      </c>
      <c r="D1239" s="36" t="s">
        <v>28</v>
      </c>
      <c r="E1239" s="37" t="s">
        <v>3301</v>
      </c>
      <c r="F1239" s="43">
        <v>3.18</v>
      </c>
      <c r="G1239" s="100">
        <f t="shared" si="19"/>
        <v>3.18</v>
      </c>
      <c r="H1239" s="101"/>
      <c r="I1239" s="100">
        <f>G1239*H1239</f>
        <v>0</v>
      </c>
      <c r="J1239" s="39" t="s">
        <v>3336</v>
      </c>
      <c r="K1239" s="40" t="s">
        <v>41</v>
      </c>
      <c r="L1239" s="41"/>
      <c r="M1239" s="42" t="str">
        <f>HYPERLINK("https://catalog.onliner.by/xmaslights/neonnight/401119", "https://catalog.onliner.by/xmaslights/neonnight/401119")</f>
        <v>https://catalog.onliner.by/xmaslights/neonnight/401119</v>
      </c>
      <c r="N1239" s="42" t="str">
        <f>HYPERLINK("https://pronto.by/catalog/product/401-119.html", "https://pronto.by/catalog/product/401-119.html")</f>
        <v>https://pronto.by/catalog/product/401-119.html</v>
      </c>
    </row>
    <row r="1240" spans="1:14" customFormat="1" ht="41.4">
      <c r="A1240" s="35" t="s">
        <v>4173</v>
      </c>
      <c r="B1240" s="19" t="s">
        <v>4174</v>
      </c>
      <c r="C1240" s="20" t="s">
        <v>4175</v>
      </c>
      <c r="D1240" s="36" t="s">
        <v>28</v>
      </c>
      <c r="E1240" s="37" t="s">
        <v>3301</v>
      </c>
      <c r="F1240" s="43">
        <v>3.4800000000000004</v>
      </c>
      <c r="G1240" s="100">
        <f t="shared" si="19"/>
        <v>3.48</v>
      </c>
      <c r="H1240" s="101"/>
      <c r="I1240" s="100">
        <f>G1240*H1240</f>
        <v>0</v>
      </c>
      <c r="J1240" s="39" t="s">
        <v>3336</v>
      </c>
      <c r="K1240" s="40" t="s">
        <v>41</v>
      </c>
      <c r="L1240" s="41"/>
      <c r="M1240" s="42" t="str">
        <f>HYPERLINK("https://catalog.onliner.by/xmaslights/neonnight/401113", "https://catalog.onliner.by/xmaslights/neonnight/401113")</f>
        <v>https://catalog.onliner.by/xmaslights/neonnight/401113</v>
      </c>
      <c r="N1240" s="42" t="str">
        <f>HYPERLINK("https://pronto.by/catalog/product/401-113.html", "https://pronto.by/catalog/product/401-113.html")</f>
        <v>https://pronto.by/catalog/product/401-113.html</v>
      </c>
    </row>
    <row r="1241" spans="1:14" customFormat="1" ht="15.6">
      <c r="A1241" s="81" t="s">
        <v>4176</v>
      </c>
      <c r="B1241" s="67"/>
      <c r="C1241" s="67"/>
      <c r="D1241" s="32"/>
      <c r="E1241" s="32"/>
      <c r="F1241" s="32"/>
      <c r="G1241" s="52"/>
      <c r="H1241" s="52"/>
      <c r="I1241" s="52"/>
      <c r="J1241" s="32"/>
      <c r="K1241" s="32"/>
      <c r="L1241" s="33"/>
      <c r="M1241" s="33"/>
      <c r="N1241" s="34"/>
    </row>
    <row r="1242" spans="1:14" customFormat="1" ht="71.400000000000006">
      <c r="A1242" s="35" t="s">
        <v>2802</v>
      </c>
      <c r="B1242" s="19" t="s">
        <v>2803</v>
      </c>
      <c r="C1242" s="20" t="s">
        <v>2804</v>
      </c>
      <c r="D1242" s="36" t="s">
        <v>28</v>
      </c>
      <c r="E1242" s="37" t="s">
        <v>3260</v>
      </c>
      <c r="F1242" s="43">
        <v>12.48</v>
      </c>
      <c r="G1242" s="100">
        <f t="shared" si="19"/>
        <v>12.48</v>
      </c>
      <c r="H1242" s="101"/>
      <c r="I1242" s="100">
        <f>G1242*H1242</f>
        <v>0</v>
      </c>
      <c r="J1242" s="39" t="s">
        <v>3336</v>
      </c>
      <c r="K1242" s="40" t="s">
        <v>31</v>
      </c>
      <c r="L1242" s="41"/>
      <c r="M1242" s="42" t="str">
        <f>HYPERLINK("https://catalog.onliner.by/lightbulb/neonnight/405513405513", "https://catalog.onliner.by/lightbulb/neonnight/405513405513")</f>
        <v>https://catalog.onliner.by/lightbulb/neonnight/405513405513</v>
      </c>
      <c r="N1242" s="42" t="str">
        <f>HYPERLINK("https://pronto.by/catalog/prazdnichnaya-svetotehnika/professional-professionalnye-proekty/lampy-dekorativnye/lampa-5-led/405-513.html", "https://pronto.by/catalog/prazdnichnaya-svetotehnika/professional-professionalnye-proekty/lampy-dekorativnye/lampa-5-led/405-513.html")</f>
        <v>https://pronto.by/catalog/prazdnichnaya-svetotehnika/professional-professionalnye-proekty/lampy-dekorativnye/lampa-5-led/405-513.html</v>
      </c>
    </row>
    <row r="1243" spans="1:14" customFormat="1" ht="41.4">
      <c r="A1243" s="35" t="s">
        <v>2805</v>
      </c>
      <c r="B1243" s="19" t="s">
        <v>2806</v>
      </c>
      <c r="C1243" s="20" t="s">
        <v>2807</v>
      </c>
      <c r="D1243" s="36" t="s">
        <v>28</v>
      </c>
      <c r="E1243" s="37" t="s">
        <v>3260</v>
      </c>
      <c r="F1243" s="43">
        <v>5.3999999999999995</v>
      </c>
      <c r="G1243" s="100">
        <f t="shared" si="19"/>
        <v>5.4</v>
      </c>
      <c r="H1243" s="101"/>
      <c r="I1243" s="100">
        <f>G1243*H1243</f>
        <v>0</v>
      </c>
      <c r="J1243" s="39" t="s">
        <v>3336</v>
      </c>
      <c r="K1243" s="40" t="s">
        <v>31</v>
      </c>
      <c r="L1243" s="41"/>
      <c r="M1243" s="42" t="str">
        <f>HYPERLINK("https://catalog.onliner.by/xmaslights/neonnight/405115", "https://catalog.onliner.by/xmaslights/neonnight/405115")</f>
        <v>https://catalog.onliner.by/xmaslights/neonnight/405115</v>
      </c>
      <c r="N1243" s="42" t="str">
        <f>HYPERLINK("https://pronto.by/catalog/product/405-115.html", "https://pronto.by/catalog/product/405-115.html")</f>
        <v>https://pronto.by/catalog/product/405-115.html</v>
      </c>
    </row>
    <row r="1244" spans="1:14" customFormat="1" ht="41.4">
      <c r="A1244" s="35" t="s">
        <v>2808</v>
      </c>
      <c r="B1244" s="19" t="s">
        <v>2809</v>
      </c>
      <c r="C1244" s="20" t="s">
        <v>2810</v>
      </c>
      <c r="D1244" s="36" t="s">
        <v>28</v>
      </c>
      <c r="E1244" s="37" t="s">
        <v>3260</v>
      </c>
      <c r="F1244" s="43">
        <v>4.6800000000000006</v>
      </c>
      <c r="G1244" s="100">
        <f t="shared" si="19"/>
        <v>4.68</v>
      </c>
      <c r="H1244" s="101"/>
      <c r="I1244" s="100">
        <f>G1244*H1244</f>
        <v>0</v>
      </c>
      <c r="J1244" s="39" t="s">
        <v>3336</v>
      </c>
      <c r="K1244" s="40" t="s">
        <v>31</v>
      </c>
      <c r="L1244" s="41"/>
      <c r="M1244" s="42" t="str">
        <f>HYPERLINK("https://catalog.onliner.by/xmaslights/neonnight/405116", "https://catalog.onliner.by/xmaslights/neonnight/405116")</f>
        <v>https://catalog.onliner.by/xmaslights/neonnight/405116</v>
      </c>
      <c r="N1244" s="42" t="str">
        <f>HYPERLINK("https://pronto.by/catalog/product/405-116.html", "https://pronto.by/catalog/product/405-116.html")</f>
        <v>https://pronto.by/catalog/product/405-116.html</v>
      </c>
    </row>
    <row r="1245" spans="1:14" customFormat="1" ht="41.4">
      <c r="A1245" s="35" t="s">
        <v>2811</v>
      </c>
      <c r="B1245" s="19" t="s">
        <v>2812</v>
      </c>
      <c r="C1245" s="20" t="s">
        <v>2813</v>
      </c>
      <c r="D1245" s="36" t="s">
        <v>28</v>
      </c>
      <c r="E1245" s="37" t="s">
        <v>3260</v>
      </c>
      <c r="F1245" s="43">
        <v>5.3999999999999995</v>
      </c>
      <c r="G1245" s="100">
        <f t="shared" si="19"/>
        <v>5.4</v>
      </c>
      <c r="H1245" s="101"/>
      <c r="I1245" s="100">
        <f>G1245*H1245</f>
        <v>0</v>
      </c>
      <c r="J1245" s="39" t="s">
        <v>3336</v>
      </c>
      <c r="K1245" s="40" t="s">
        <v>31</v>
      </c>
      <c r="L1245" s="41"/>
      <c r="M1245" s="42" t="str">
        <f>HYPERLINK("https://catalog.onliner.by/xmaslights/neonnight/405111", "https://catalog.onliner.by/xmaslights/neonnight/405111")</f>
        <v>https://catalog.onliner.by/xmaslights/neonnight/405111</v>
      </c>
      <c r="N1245" s="42" t="str">
        <f>HYPERLINK("https://pronto.by/catalog/product/405-111.html", "https://pronto.by/catalog/product/405-111.html")</f>
        <v>https://pronto.by/catalog/product/405-111.html</v>
      </c>
    </row>
    <row r="1246" spans="1:14" customFormat="1" ht="41.4">
      <c r="A1246" s="35" t="s">
        <v>2814</v>
      </c>
      <c r="B1246" s="19" t="s">
        <v>2815</v>
      </c>
      <c r="C1246" s="20" t="s">
        <v>2816</v>
      </c>
      <c r="D1246" s="36" t="s">
        <v>28</v>
      </c>
      <c r="E1246" s="37" t="s">
        <v>3260</v>
      </c>
      <c r="F1246" s="43">
        <v>5.3999999999999995</v>
      </c>
      <c r="G1246" s="100">
        <f t="shared" si="19"/>
        <v>5.4</v>
      </c>
      <c r="H1246" s="101"/>
      <c r="I1246" s="100">
        <f>G1246*H1246</f>
        <v>0</v>
      </c>
      <c r="J1246" s="39" t="s">
        <v>3336</v>
      </c>
      <c r="K1246" s="40" t="s">
        <v>31</v>
      </c>
      <c r="L1246" s="41"/>
      <c r="M1246" s="42" t="str">
        <f>HYPERLINK("https://catalog.onliner.by/xmaslights/neonnight/405114", "https://catalog.onliner.by/xmaslights/neonnight/405114")</f>
        <v>https://catalog.onliner.by/xmaslights/neonnight/405114</v>
      </c>
      <c r="N1246" s="42" t="str">
        <f>HYPERLINK("https://pronto.by/catalog/product/405-114.html", "https://pronto.by/catalog/product/405-114.html")</f>
        <v>https://pronto.by/catalog/product/405-114.html</v>
      </c>
    </row>
    <row r="1247" spans="1:14" customFormat="1" ht="41.4">
      <c r="A1247" s="35" t="s">
        <v>2817</v>
      </c>
      <c r="B1247" s="19" t="s">
        <v>2818</v>
      </c>
      <c r="C1247" s="20" t="s">
        <v>2819</v>
      </c>
      <c r="D1247" s="36" t="s">
        <v>28</v>
      </c>
      <c r="E1247" s="37" t="s">
        <v>3260</v>
      </c>
      <c r="F1247" s="43">
        <v>5.3999999999999995</v>
      </c>
      <c r="G1247" s="100">
        <f t="shared" si="19"/>
        <v>5.4</v>
      </c>
      <c r="H1247" s="101"/>
      <c r="I1247" s="100">
        <f>G1247*H1247</f>
        <v>0</v>
      </c>
      <c r="J1247" s="39" t="s">
        <v>3336</v>
      </c>
      <c r="K1247" s="40" t="s">
        <v>31</v>
      </c>
      <c r="L1247" s="41"/>
      <c r="M1247" s="42" t="str">
        <f>HYPERLINK("https://catalog.onliner.by/xmaslights/neonnight/405112", "https://catalog.onliner.by/xmaslights/neonnight/405112")</f>
        <v>https://catalog.onliner.by/xmaslights/neonnight/405112</v>
      </c>
      <c r="N1247" s="42" t="str">
        <f>HYPERLINK("https://pronto.by/catalog/product/405-112.html", "https://pronto.by/catalog/product/405-112.html")</f>
        <v>https://pronto.by/catalog/product/405-112.html</v>
      </c>
    </row>
    <row r="1248" spans="1:14" customFormat="1" ht="41.4">
      <c r="A1248" s="35" t="s">
        <v>2820</v>
      </c>
      <c r="B1248" s="19" t="s">
        <v>2821</v>
      </c>
      <c r="C1248" s="20" t="s">
        <v>2822</v>
      </c>
      <c r="D1248" s="36" t="s">
        <v>28</v>
      </c>
      <c r="E1248" s="37" t="s">
        <v>3260</v>
      </c>
      <c r="F1248" s="43">
        <v>5.3999999999999995</v>
      </c>
      <c r="G1248" s="100">
        <f t="shared" si="19"/>
        <v>5.4</v>
      </c>
      <c r="H1248" s="101"/>
      <c r="I1248" s="100">
        <f>G1248*H1248</f>
        <v>0</v>
      </c>
      <c r="J1248" s="39" t="s">
        <v>3336</v>
      </c>
      <c r="K1248" s="40" t="s">
        <v>31</v>
      </c>
      <c r="L1248" s="41"/>
      <c r="M1248" s="42" t="str">
        <f>HYPERLINK("https://catalog.onliner.by/xmaslights/neonnight/405113", "https://catalog.onliner.by/xmaslights/neonnight/405113")</f>
        <v>https://catalog.onliner.by/xmaslights/neonnight/405113</v>
      </c>
      <c r="N1248" s="42" t="str">
        <f>HYPERLINK("https://pronto.by/catalog/product/405-113.html", "https://pronto.by/catalog/product/405-113.html")</f>
        <v>https://pronto.by/catalog/product/405-113.html</v>
      </c>
    </row>
    <row r="1249" spans="1:14" customFormat="1" ht="15.6">
      <c r="A1249" s="81" t="s">
        <v>4177</v>
      </c>
      <c r="B1249" s="67"/>
      <c r="C1249" s="67"/>
      <c r="D1249" s="32"/>
      <c r="E1249" s="32"/>
      <c r="F1249" s="32"/>
      <c r="G1249" s="52"/>
      <c r="H1249" s="52"/>
      <c r="I1249" s="52"/>
      <c r="J1249" s="32"/>
      <c r="K1249" s="32"/>
      <c r="L1249" s="33"/>
      <c r="M1249" s="33"/>
      <c r="N1249" s="34"/>
    </row>
    <row r="1250" spans="1:14" customFormat="1" ht="55.2">
      <c r="A1250" s="35" t="s">
        <v>2823</v>
      </c>
      <c r="B1250" s="19" t="s">
        <v>2824</v>
      </c>
      <c r="C1250" s="20" t="s">
        <v>2825</v>
      </c>
      <c r="D1250" s="36" t="s">
        <v>28</v>
      </c>
      <c r="E1250" s="37" t="s">
        <v>3260</v>
      </c>
      <c r="F1250" s="43">
        <v>7.68</v>
      </c>
      <c r="G1250" s="100">
        <f t="shared" si="19"/>
        <v>7.68</v>
      </c>
      <c r="H1250" s="101"/>
      <c r="I1250" s="100">
        <f>G1250*H1250</f>
        <v>0</v>
      </c>
      <c r="J1250" s="39" t="s">
        <v>3336</v>
      </c>
      <c r="K1250" s="40" t="s">
        <v>31</v>
      </c>
      <c r="L1250" s="41"/>
      <c r="M1250" s="42" t="str">
        <f>HYPERLINK("https://catalog.onliner.by/xmaslights/neonnight/405125", "https://catalog.onliner.by/xmaslights/neonnight/405125")</f>
        <v>https://catalog.onliner.by/xmaslights/neonnight/405125</v>
      </c>
      <c r="N1250" s="42" t="str">
        <f>HYPERLINK("https://pronto.by/catalog/product/405-125.html", "https://pronto.by/catalog/product/405-125.html")</f>
        <v>https://pronto.by/catalog/product/405-125.html</v>
      </c>
    </row>
    <row r="1251" spans="1:14" customFormat="1" ht="55.2">
      <c r="A1251" s="35" t="s">
        <v>2826</v>
      </c>
      <c r="B1251" s="19" t="s">
        <v>2827</v>
      </c>
      <c r="C1251" s="20" t="s">
        <v>2828</v>
      </c>
      <c r="D1251" s="36" t="s">
        <v>28</v>
      </c>
      <c r="E1251" s="37" t="s">
        <v>3260</v>
      </c>
      <c r="F1251" s="43">
        <v>4.9800000000000004</v>
      </c>
      <c r="G1251" s="100">
        <f t="shared" si="19"/>
        <v>4.9800000000000004</v>
      </c>
      <c r="H1251" s="101"/>
      <c r="I1251" s="100">
        <f>G1251*H1251</f>
        <v>0</v>
      </c>
      <c r="J1251" s="39" t="s">
        <v>3336</v>
      </c>
      <c r="K1251" s="40" t="s">
        <v>31</v>
      </c>
      <c r="L1251" s="41"/>
      <c r="M1251" s="42" t="str">
        <f>HYPERLINK("https://catalog.onliner.by/xmaslights/neonnight/405124", "https://catalog.onliner.by/xmaslights/neonnight/405124")</f>
        <v>https://catalog.onliner.by/xmaslights/neonnight/405124</v>
      </c>
      <c r="N1251" s="42" t="str">
        <f>HYPERLINK("https://pronto.by/catalog/product/405-124.html", "https://pronto.by/catalog/product/405-124.html")</f>
        <v>https://pronto.by/catalog/product/405-124.html</v>
      </c>
    </row>
    <row r="1252" spans="1:14" customFormat="1" ht="55.2">
      <c r="A1252" s="35" t="s">
        <v>4178</v>
      </c>
      <c r="B1252" s="19" t="s">
        <v>4179</v>
      </c>
      <c r="C1252" s="20" t="s">
        <v>4180</v>
      </c>
      <c r="D1252" s="36" t="s">
        <v>28</v>
      </c>
      <c r="E1252" s="37" t="s">
        <v>3260</v>
      </c>
      <c r="F1252" s="43">
        <v>4.8</v>
      </c>
      <c r="G1252" s="100">
        <f t="shared" si="19"/>
        <v>4.8</v>
      </c>
      <c r="H1252" s="101"/>
      <c r="I1252" s="100">
        <f>G1252*H1252</f>
        <v>0</v>
      </c>
      <c r="J1252" s="39" t="s">
        <v>3336</v>
      </c>
      <c r="K1252" s="40" t="s">
        <v>31</v>
      </c>
      <c r="L1252" s="41"/>
      <c r="M1252" s="42" t="str">
        <f>HYPERLINK("https://catalog.onliner.by/xmaslights/neonnight/405122", "https://catalog.onliner.by/xmaslights/neonnight/405122")</f>
        <v>https://catalog.onliner.by/xmaslights/neonnight/405122</v>
      </c>
      <c r="N1252" s="42" t="str">
        <f>HYPERLINK("https://pronto.by/catalog/product/405-122.html", "https://pronto.by/catalog/product/405-122.html")</f>
        <v>https://pronto.by/catalog/product/405-122.html</v>
      </c>
    </row>
    <row r="1253" spans="1:14" customFormat="1" ht="55.2">
      <c r="A1253" s="35" t="s">
        <v>2829</v>
      </c>
      <c r="B1253" s="19" t="s">
        <v>2830</v>
      </c>
      <c r="C1253" s="20" t="s">
        <v>2831</v>
      </c>
      <c r="D1253" s="36" t="s">
        <v>28</v>
      </c>
      <c r="E1253" s="37" t="s">
        <v>3260</v>
      </c>
      <c r="F1253" s="43">
        <v>5.28</v>
      </c>
      <c r="G1253" s="100">
        <f t="shared" si="19"/>
        <v>5.28</v>
      </c>
      <c r="H1253" s="101"/>
      <c r="I1253" s="100">
        <f>G1253*H1253</f>
        <v>0</v>
      </c>
      <c r="J1253" s="39" t="s">
        <v>3336</v>
      </c>
      <c r="K1253" s="40" t="s">
        <v>31</v>
      </c>
      <c r="L1253" s="41"/>
      <c r="M1253" s="42" t="str">
        <f>HYPERLINK("https://catalog.onliner.by/xmaslights/neonnight/405127", "https://catalog.onliner.by/xmaslights/neonnight/405127")</f>
        <v>https://catalog.onliner.by/xmaslights/neonnight/405127</v>
      </c>
      <c r="N1253" s="42" t="str">
        <f>HYPERLINK("https://pronto.by/catalog/product/405-127.html", "https://pronto.by/catalog/product/405-127.html")</f>
        <v>https://pronto.by/catalog/product/405-127.html</v>
      </c>
    </row>
    <row r="1254" spans="1:14" customFormat="1" ht="55.2">
      <c r="A1254" s="35" t="s">
        <v>2832</v>
      </c>
      <c r="B1254" s="19" t="s">
        <v>2833</v>
      </c>
      <c r="C1254" s="20" t="s">
        <v>2834</v>
      </c>
      <c r="D1254" s="36" t="s">
        <v>28</v>
      </c>
      <c r="E1254" s="37" t="s">
        <v>3260</v>
      </c>
      <c r="F1254" s="43">
        <v>4.74</v>
      </c>
      <c r="G1254" s="100">
        <f t="shared" si="19"/>
        <v>4.74</v>
      </c>
      <c r="H1254" s="101"/>
      <c r="I1254" s="100">
        <f>G1254*H1254</f>
        <v>0</v>
      </c>
      <c r="J1254" s="39" t="s">
        <v>3336</v>
      </c>
      <c r="K1254" s="40" t="s">
        <v>31</v>
      </c>
      <c r="L1254" s="41"/>
      <c r="M1254" s="42" t="str">
        <f>HYPERLINK("https://catalog.onliner.by/xmaslights/neonnight/405123", "https://catalog.onliner.by/xmaslights/neonnight/405123")</f>
        <v>https://catalog.onliner.by/xmaslights/neonnight/405123</v>
      </c>
      <c r="N1254" s="42" t="str">
        <f>HYPERLINK("https://pronto.by/catalog/product/405-123.html", "https://pronto.by/catalog/product/405-123.html")</f>
        <v>https://pronto.by/catalog/product/405-123.html</v>
      </c>
    </row>
    <row r="1255" spans="1:14" customFormat="1" ht="55.2">
      <c r="A1255" s="35" t="s">
        <v>2835</v>
      </c>
      <c r="B1255" s="19" t="s">
        <v>2836</v>
      </c>
      <c r="C1255" s="20" t="s">
        <v>2837</v>
      </c>
      <c r="D1255" s="36" t="s">
        <v>28</v>
      </c>
      <c r="E1255" s="37" t="s">
        <v>3260</v>
      </c>
      <c r="F1255" s="43">
        <v>5.82</v>
      </c>
      <c r="G1255" s="100">
        <f t="shared" si="19"/>
        <v>5.82</v>
      </c>
      <c r="H1255" s="101"/>
      <c r="I1255" s="100">
        <f>G1255*H1255</f>
        <v>0</v>
      </c>
      <c r="J1255" s="39" t="s">
        <v>3336</v>
      </c>
      <c r="K1255" s="40" t="s">
        <v>31</v>
      </c>
      <c r="L1255" s="41"/>
      <c r="M1255" s="42" t="str">
        <f>HYPERLINK("https://catalog.onliner.by/xmaslights/neonnight/405126", "https://catalog.onliner.by/xmaslights/neonnight/405126")</f>
        <v>https://catalog.onliner.by/xmaslights/neonnight/405126</v>
      </c>
      <c r="N1255" s="42" t="str">
        <f>HYPERLINK("https://pronto.by/catalog/product/405-126.html", "https://pronto.by/catalog/product/405-126.html")</f>
        <v>https://pronto.by/catalog/product/405-126.html</v>
      </c>
    </row>
    <row r="1256" spans="1:14" customFormat="1" ht="15.6">
      <c r="A1256" s="81" t="s">
        <v>4181</v>
      </c>
      <c r="B1256" s="67"/>
      <c r="C1256" s="67"/>
      <c r="D1256" s="32"/>
      <c r="E1256" s="32"/>
      <c r="F1256" s="32"/>
      <c r="G1256" s="52"/>
      <c r="H1256" s="52"/>
      <c r="I1256" s="52"/>
      <c r="J1256" s="32"/>
      <c r="K1256" s="32"/>
      <c r="L1256" s="33"/>
      <c r="M1256" s="33"/>
      <c r="N1256" s="34"/>
    </row>
    <row r="1257" spans="1:14" customFormat="1" ht="62.4">
      <c r="A1257" s="35" t="s">
        <v>2838</v>
      </c>
      <c r="B1257" s="19" t="s">
        <v>2839</v>
      </c>
      <c r="C1257" s="20" t="s">
        <v>2840</v>
      </c>
      <c r="D1257" s="36" t="s">
        <v>28</v>
      </c>
      <c r="E1257" s="37" t="s">
        <v>3260</v>
      </c>
      <c r="F1257" s="43">
        <v>21.96</v>
      </c>
      <c r="G1257" s="100">
        <f t="shared" si="19"/>
        <v>21.96</v>
      </c>
      <c r="H1257" s="101"/>
      <c r="I1257" s="100">
        <f>G1257*H1257</f>
        <v>0</v>
      </c>
      <c r="J1257" s="39" t="s">
        <v>3336</v>
      </c>
      <c r="K1257" s="40" t="s">
        <v>31</v>
      </c>
      <c r="L1257" s="41" t="s">
        <v>4182</v>
      </c>
      <c r="M1257" s="42" t="str">
        <f>HYPERLINK("https://catalog.onliner.by/xmaslights/neonnight/405512", "https://catalog.onliner.by/xmaslights/neonnight/405512")</f>
        <v>https://catalog.onliner.by/xmaslights/neonnight/405512</v>
      </c>
      <c r="N1257" s="42" t="str">
        <f>HYPERLINK("https://pronto.by/catalog/product/405-512.html", "https://pronto.by/catalog/product/405-512.html")</f>
        <v>https://pronto.by/catalog/product/405-512.html</v>
      </c>
    </row>
    <row r="1258" spans="1:14" customFormat="1" ht="55.2">
      <c r="A1258" s="35" t="s">
        <v>2841</v>
      </c>
      <c r="B1258" s="19" t="s">
        <v>2842</v>
      </c>
      <c r="C1258" s="20" t="s">
        <v>2843</v>
      </c>
      <c r="D1258" s="36" t="s">
        <v>28</v>
      </c>
      <c r="E1258" s="37" t="s">
        <v>3260</v>
      </c>
      <c r="F1258" s="43">
        <v>10.56</v>
      </c>
      <c r="G1258" s="100">
        <f t="shared" si="19"/>
        <v>10.56</v>
      </c>
      <c r="H1258" s="101"/>
      <c r="I1258" s="100">
        <f>G1258*H1258</f>
        <v>0</v>
      </c>
      <c r="J1258" s="39" t="s">
        <v>3336</v>
      </c>
      <c r="K1258" s="40" t="s">
        <v>31</v>
      </c>
      <c r="L1258" s="41"/>
      <c r="M1258" s="42" t="str">
        <f>HYPERLINK("https://catalog.onliner.by/xmaslights/neonnight/405211", "https://catalog.onliner.by/xmaslights/neonnight/405211")</f>
        <v>https://catalog.onliner.by/xmaslights/neonnight/405211</v>
      </c>
      <c r="N1258" s="42" t="str">
        <f>HYPERLINK("https://pronto.by/catalog/product/405-211.html", "https://pronto.by/catalog/product/405-211.html")</f>
        <v>https://pronto.by/catalog/product/405-211.html</v>
      </c>
    </row>
    <row r="1259" spans="1:14" customFormat="1" ht="55.2">
      <c r="A1259" s="35" t="s">
        <v>2844</v>
      </c>
      <c r="B1259" s="19" t="s">
        <v>2845</v>
      </c>
      <c r="C1259" s="20" t="s">
        <v>2846</v>
      </c>
      <c r="D1259" s="36" t="s">
        <v>28</v>
      </c>
      <c r="E1259" s="37" t="s">
        <v>3260</v>
      </c>
      <c r="F1259" s="43">
        <v>9.48</v>
      </c>
      <c r="G1259" s="100">
        <f t="shared" si="19"/>
        <v>9.48</v>
      </c>
      <c r="H1259" s="101"/>
      <c r="I1259" s="100">
        <f>G1259*H1259</f>
        <v>0</v>
      </c>
      <c r="J1259" s="39" t="s">
        <v>3336</v>
      </c>
      <c r="K1259" s="40" t="s">
        <v>31</v>
      </c>
      <c r="L1259" s="41"/>
      <c r="M1259" s="42" t="str">
        <f>HYPERLINK("https://catalog.onliner.by/xmaslights/neonnight/405214", "https://catalog.onliner.by/xmaslights/neonnight/405214")</f>
        <v>https://catalog.onliner.by/xmaslights/neonnight/405214</v>
      </c>
      <c r="N1259" s="42" t="str">
        <f>HYPERLINK("https://pronto.by/catalog/product/405-214.html", "https://pronto.by/catalog/product/405-214.html")</f>
        <v>https://pronto.by/catalog/product/405-214.html</v>
      </c>
    </row>
    <row r="1260" spans="1:14" customFormat="1" ht="55.2">
      <c r="A1260" s="35" t="s">
        <v>2847</v>
      </c>
      <c r="B1260" s="19" t="s">
        <v>2848</v>
      </c>
      <c r="C1260" s="20" t="s">
        <v>2849</v>
      </c>
      <c r="D1260" s="36" t="s">
        <v>28</v>
      </c>
      <c r="E1260" s="37" t="s">
        <v>3260</v>
      </c>
      <c r="F1260" s="43">
        <v>7.68</v>
      </c>
      <c r="G1260" s="100">
        <f t="shared" si="19"/>
        <v>7.68</v>
      </c>
      <c r="H1260" s="101"/>
      <c r="I1260" s="100">
        <f>G1260*H1260</f>
        <v>0</v>
      </c>
      <c r="J1260" s="39" t="s">
        <v>3336</v>
      </c>
      <c r="K1260" s="40" t="s">
        <v>31</v>
      </c>
      <c r="L1260" s="41"/>
      <c r="M1260" s="42" t="str">
        <f>HYPERLINK("https://catalog.onliner.by/xmaslights/neonnight/405212", "https://catalog.onliner.by/xmaslights/neonnight/405212")</f>
        <v>https://catalog.onliner.by/xmaslights/neonnight/405212</v>
      </c>
      <c r="N1260" s="42" t="str">
        <f>HYPERLINK("https://pronto.by/catalog/product/405-212.html", "https://pronto.by/catalog/product/405-212.html")</f>
        <v>https://pronto.by/catalog/product/405-212.html</v>
      </c>
    </row>
    <row r="1261" spans="1:14" customFormat="1" ht="55.2">
      <c r="A1261" s="35" t="s">
        <v>2850</v>
      </c>
      <c r="B1261" s="19" t="s">
        <v>2851</v>
      </c>
      <c r="C1261" s="20" t="s">
        <v>2852</v>
      </c>
      <c r="D1261" s="36" t="s">
        <v>28</v>
      </c>
      <c r="E1261" s="37" t="s">
        <v>3260</v>
      </c>
      <c r="F1261" s="43">
        <v>10.56</v>
      </c>
      <c r="G1261" s="100">
        <f t="shared" si="19"/>
        <v>10.56</v>
      </c>
      <c r="H1261" s="101"/>
      <c r="I1261" s="100">
        <f>G1261*H1261</f>
        <v>0</v>
      </c>
      <c r="J1261" s="39" t="s">
        <v>3336</v>
      </c>
      <c r="K1261" s="40" t="s">
        <v>31</v>
      </c>
      <c r="L1261" s="41"/>
      <c r="M1261" s="42" t="str">
        <f>HYPERLINK("https://catalog.onliner.by/xmaslights/neonnight/405213", "https://catalog.onliner.by/xmaslights/neonnight/405213")</f>
        <v>https://catalog.onliner.by/xmaslights/neonnight/405213</v>
      </c>
      <c r="N1261" s="42" t="str">
        <f>HYPERLINK("https://pronto.by/catalog/product/405-213.html", "https://pronto.by/catalog/product/405-213.html")</f>
        <v>https://pronto.by/catalog/product/405-213.html</v>
      </c>
    </row>
    <row r="1262" spans="1:14" customFormat="1" ht="55.2">
      <c r="A1262" s="35" t="s">
        <v>2853</v>
      </c>
      <c r="B1262" s="19" t="s">
        <v>2854</v>
      </c>
      <c r="C1262" s="20" t="s">
        <v>2855</v>
      </c>
      <c r="D1262" s="36" t="s">
        <v>28</v>
      </c>
      <c r="E1262" s="37" t="s">
        <v>3260</v>
      </c>
      <c r="F1262" s="43">
        <v>11.1</v>
      </c>
      <c r="G1262" s="100">
        <f t="shared" si="19"/>
        <v>11.1</v>
      </c>
      <c r="H1262" s="101"/>
      <c r="I1262" s="100">
        <f>G1262*H1262</f>
        <v>0</v>
      </c>
      <c r="J1262" s="39" t="s">
        <v>3336</v>
      </c>
      <c r="K1262" s="40" t="s">
        <v>31</v>
      </c>
      <c r="L1262" s="41"/>
      <c r="M1262" s="42" t="str">
        <f>HYPERLINK("https://catalog.onliner.by/xmaslights/neonnight/405216", "https://catalog.onliner.by/xmaslights/neonnight/405216")</f>
        <v>https://catalog.onliner.by/xmaslights/neonnight/405216</v>
      </c>
      <c r="N1262" s="42" t="str">
        <f>HYPERLINK("https://pronto.by/catalog/product/405-216.html", "https://pronto.by/catalog/product/405-216.html")</f>
        <v>https://pronto.by/catalog/product/405-216.html</v>
      </c>
    </row>
    <row r="1263" spans="1:14" customFormat="1" ht="55.2">
      <c r="A1263" s="35" t="s">
        <v>2856</v>
      </c>
      <c r="B1263" s="19" t="s">
        <v>2857</v>
      </c>
      <c r="C1263" s="20" t="s">
        <v>2858</v>
      </c>
      <c r="D1263" s="36" t="s">
        <v>28</v>
      </c>
      <c r="E1263" s="37" t="s">
        <v>3260</v>
      </c>
      <c r="F1263" s="43">
        <v>8.52</v>
      </c>
      <c r="G1263" s="100">
        <f t="shared" si="19"/>
        <v>8.52</v>
      </c>
      <c r="H1263" s="101"/>
      <c r="I1263" s="100">
        <f>G1263*H1263</f>
        <v>0</v>
      </c>
      <c r="J1263" s="39" t="s">
        <v>3336</v>
      </c>
      <c r="K1263" s="40" t="s">
        <v>31</v>
      </c>
      <c r="L1263" s="41"/>
      <c r="M1263" s="42" t="str">
        <f>HYPERLINK("https://catalog.onliner.by/xmaslights/neonnight/405215", "https://catalog.onliner.by/xmaslights/neonnight/405215")</f>
        <v>https://catalog.onliner.by/xmaslights/neonnight/405215</v>
      </c>
      <c r="N1263" s="42" t="str">
        <f>HYPERLINK("https://pronto.by/catalog/product/405-215.html", "https://pronto.by/catalog/product/405-215.html")</f>
        <v>https://pronto.by/catalog/product/405-215.html</v>
      </c>
    </row>
    <row r="1264" spans="1:14" customFormat="1" ht="15.6">
      <c r="A1264" s="81" t="s">
        <v>4183</v>
      </c>
      <c r="B1264" s="67"/>
      <c r="C1264" s="67"/>
      <c r="D1264" s="32"/>
      <c r="E1264" s="32"/>
      <c r="F1264" s="32"/>
      <c r="G1264" s="52"/>
      <c r="H1264" s="52"/>
      <c r="I1264" s="52"/>
      <c r="J1264" s="32"/>
      <c r="K1264" s="32"/>
      <c r="L1264" s="33"/>
      <c r="M1264" s="33"/>
      <c r="N1264" s="34"/>
    </row>
    <row r="1265" spans="1:14" customFormat="1" ht="69">
      <c r="A1265" s="35" t="s">
        <v>2859</v>
      </c>
      <c r="B1265" s="19" t="s">
        <v>2860</v>
      </c>
      <c r="C1265" s="20" t="s">
        <v>2861</v>
      </c>
      <c r="D1265" s="36" t="s">
        <v>28</v>
      </c>
      <c r="E1265" s="37" t="s">
        <v>3260</v>
      </c>
      <c r="F1265" s="43">
        <v>9.8400000000000016</v>
      </c>
      <c r="G1265" s="100">
        <f t="shared" si="19"/>
        <v>9.84</v>
      </c>
      <c r="H1265" s="101"/>
      <c r="I1265" s="100">
        <f>G1265*H1265</f>
        <v>0</v>
      </c>
      <c r="J1265" s="39" t="s">
        <v>3336</v>
      </c>
      <c r="K1265" s="40" t="s">
        <v>31</v>
      </c>
      <c r="L1265" s="41"/>
      <c r="M1265" s="42" t="str">
        <f>HYPERLINK("https://catalog.onliner.by/xmaslights/neonnight/405615", "https://catalog.onliner.by/xmaslights/neonnight/405615")</f>
        <v>https://catalog.onliner.by/xmaslights/neonnight/405615</v>
      </c>
      <c r="N1265" s="42" t="str">
        <f>HYPERLINK("https://pronto.by/catalog/product/405-615.html", "https://pronto.by/catalog/product/405-615.html")</f>
        <v>https://pronto.by/catalog/product/405-615.html</v>
      </c>
    </row>
    <row r="1266" spans="1:14" customFormat="1" ht="69">
      <c r="A1266" s="35" t="s">
        <v>2862</v>
      </c>
      <c r="B1266" s="19" t="s">
        <v>2863</v>
      </c>
      <c r="C1266" s="20" t="s">
        <v>2864</v>
      </c>
      <c r="D1266" s="36" t="s">
        <v>28</v>
      </c>
      <c r="E1266" s="37" t="s">
        <v>3260</v>
      </c>
      <c r="F1266" s="43">
        <v>4.74</v>
      </c>
      <c r="G1266" s="100">
        <f t="shared" si="19"/>
        <v>4.74</v>
      </c>
      <c r="H1266" s="101"/>
      <c r="I1266" s="100">
        <f>G1266*H1266</f>
        <v>0</v>
      </c>
      <c r="J1266" s="39" t="s">
        <v>3336</v>
      </c>
      <c r="K1266" s="40" t="s">
        <v>31</v>
      </c>
      <c r="L1266" s="41"/>
      <c r="M1266" s="42" t="str">
        <f>HYPERLINK("https://catalog.onliner.by/xmaslights/neonnight/405614", "https://catalog.onliner.by/xmaslights/neonnight/405614")</f>
        <v>https://catalog.onliner.by/xmaslights/neonnight/405614</v>
      </c>
      <c r="N1266" s="42" t="str">
        <f>HYPERLINK("https://pronto.by/catalog/product/405-614.html", "https://pronto.by/catalog/product/405-614.html")</f>
        <v>https://pronto.by/catalog/product/405-614.html</v>
      </c>
    </row>
    <row r="1267" spans="1:14" customFormat="1" ht="71.400000000000006">
      <c r="A1267" s="45" t="s">
        <v>2865</v>
      </c>
      <c r="B1267" s="46" t="s">
        <v>2866</v>
      </c>
      <c r="C1267" s="54" t="s">
        <v>2867</v>
      </c>
      <c r="D1267" s="47" t="s">
        <v>28</v>
      </c>
      <c r="E1267" s="48" t="s">
        <v>3260</v>
      </c>
      <c r="F1267" s="43">
        <v>5.0999999999999996</v>
      </c>
      <c r="G1267" s="100">
        <f t="shared" si="19"/>
        <v>5.0999999999999996</v>
      </c>
      <c r="H1267" s="101"/>
      <c r="I1267" s="100">
        <f>G1267*H1267</f>
        <v>0</v>
      </c>
      <c r="J1267" s="39" t="s">
        <v>3336</v>
      </c>
      <c r="K1267" s="40" t="s">
        <v>31</v>
      </c>
      <c r="L1267" s="41"/>
      <c r="M1267" s="42" t="s">
        <v>4184</v>
      </c>
      <c r="N1267" s="42" t="str">
        <f>HYPERLINK("https://pronto.by/catalog/prazdnichnaya-svetotehnika/professional-professionalnye-proekty/lampy-dekorativnye/lampa-10-led-24v/405-625.html", "https://pronto.by/catalog/prazdnichnaya-svetotehnika/professional-professionalnye-proekty/lampy-dekorativnye/lampa-10-led-24v/405-625.html")</f>
        <v>https://pronto.by/catalog/prazdnichnaya-svetotehnika/professional-professionalnye-proekty/lampy-dekorativnye/lampa-10-led-24v/405-625.html</v>
      </c>
    </row>
    <row r="1268" spans="1:14" customFormat="1" ht="71.400000000000006">
      <c r="A1268" s="35" t="s">
        <v>2868</v>
      </c>
      <c r="B1268" s="19" t="s">
        <v>2869</v>
      </c>
      <c r="C1268" s="20" t="s">
        <v>2870</v>
      </c>
      <c r="D1268" s="36" t="s">
        <v>28</v>
      </c>
      <c r="E1268" s="37" t="s">
        <v>3260</v>
      </c>
      <c r="F1268" s="43">
        <v>5.0999999999999996</v>
      </c>
      <c r="G1268" s="100">
        <f t="shared" si="19"/>
        <v>5.0999999999999996</v>
      </c>
      <c r="H1268" s="101"/>
      <c r="I1268" s="100">
        <f>G1268*H1268</f>
        <v>0</v>
      </c>
      <c r="J1268" s="39" t="s">
        <v>3336</v>
      </c>
      <c r="K1268" s="40" t="s">
        <v>31</v>
      </c>
      <c r="L1268" s="41"/>
      <c r="M1268" s="42" t="str">
        <f>HYPERLINK("https://catalog.onliner.by/lightbulb/neonnight/e271w2700k405626", "https://catalog.onliner.by/lightbulb/neonnight/e271w2700k405626")</f>
        <v>https://catalog.onliner.by/lightbulb/neonnight/e271w2700k405626</v>
      </c>
      <c r="N1268" s="42" t="str">
        <f>HYPERLINK("https://pronto.by/catalog/prazdnichnaya-svetotehnika/professional-professionalnye-proekty/lampy-dekorativnye/lampa-10-led-24v/405-626.html", "https://pronto.by/catalog/prazdnichnaya-svetotehnika/professional-professionalnye-proekty/lampy-dekorativnye/lampa-10-led-24v/405-626.html")</f>
        <v>https://pronto.by/catalog/prazdnichnaya-svetotehnika/professional-professionalnye-proekty/lampy-dekorativnye/lampa-10-led-24v/405-626.html</v>
      </c>
    </row>
    <row r="1269" spans="1:14" customFormat="1" ht="15.6">
      <c r="A1269" s="81" t="s">
        <v>4185</v>
      </c>
      <c r="B1269" s="67"/>
      <c r="C1269" s="67"/>
      <c r="D1269" s="32"/>
      <c r="E1269" s="32"/>
      <c r="F1269" s="32"/>
      <c r="G1269" s="52"/>
      <c r="H1269" s="52"/>
      <c r="I1269" s="52"/>
      <c r="J1269" s="32"/>
      <c r="K1269" s="32"/>
      <c r="L1269" s="33"/>
      <c r="M1269" s="33"/>
      <c r="N1269" s="34"/>
    </row>
    <row r="1270" spans="1:14" customFormat="1" ht="55.2">
      <c r="A1270" s="35" t="s">
        <v>2871</v>
      </c>
      <c r="B1270" s="19" t="s">
        <v>2872</v>
      </c>
      <c r="C1270" s="20" t="s">
        <v>2873</v>
      </c>
      <c r="D1270" s="36" t="s">
        <v>28</v>
      </c>
      <c r="E1270" s="37" t="s">
        <v>3260</v>
      </c>
      <c r="F1270" s="43">
        <v>15.36</v>
      </c>
      <c r="G1270" s="100">
        <f t="shared" si="19"/>
        <v>15.36</v>
      </c>
      <c r="H1270" s="101"/>
      <c r="I1270" s="100">
        <f>G1270*H1270</f>
        <v>0</v>
      </c>
      <c r="J1270" s="39" t="s">
        <v>3336</v>
      </c>
      <c r="K1270" s="40" t="s">
        <v>31</v>
      </c>
      <c r="L1270" s="41"/>
      <c r="M1270" s="42" t="str">
        <f>HYPERLINK("https://catalog.onliner.by/xmaslights/neonnight/405132", "https://catalog.onliner.by/xmaslights/neonnight/405132")</f>
        <v>https://catalog.onliner.by/xmaslights/neonnight/405132</v>
      </c>
      <c r="N1270" s="42" t="str">
        <f>HYPERLINK("https://pronto.by/catalog/product/405-132.html", "https://pronto.by/catalog/product/405-132.html")</f>
        <v>https://pronto.by/catalog/product/405-132.html</v>
      </c>
    </row>
    <row r="1271" spans="1:14" customFormat="1" ht="55.2">
      <c r="A1271" s="35" t="s">
        <v>2874</v>
      </c>
      <c r="B1271" s="19" t="s">
        <v>2875</v>
      </c>
      <c r="C1271" s="20" t="s">
        <v>2876</v>
      </c>
      <c r="D1271" s="36" t="s">
        <v>28</v>
      </c>
      <c r="E1271" s="37" t="s">
        <v>3260</v>
      </c>
      <c r="F1271" s="43">
        <v>14.58</v>
      </c>
      <c r="G1271" s="100">
        <f t="shared" si="19"/>
        <v>14.58</v>
      </c>
      <c r="H1271" s="101"/>
      <c r="I1271" s="100">
        <f>G1271*H1271</f>
        <v>0</v>
      </c>
      <c r="J1271" s="39" t="s">
        <v>3336</v>
      </c>
      <c r="K1271" s="40" t="s">
        <v>31</v>
      </c>
      <c r="L1271" s="41"/>
      <c r="M1271" s="42" t="str">
        <f>HYPERLINK("https://catalog.onliner.by/xmaslights/neonnight/405133", "https://catalog.onliner.by/xmaslights/neonnight/405133")</f>
        <v>https://catalog.onliner.by/xmaslights/neonnight/405133</v>
      </c>
      <c r="N1271" s="42" t="str">
        <f>HYPERLINK("https://pronto.by/catalog/product/405-133.html", "https://pronto.by/catalog/product/405-133.html")</f>
        <v>https://pronto.by/catalog/product/405-133.html</v>
      </c>
    </row>
    <row r="1272" spans="1:14" customFormat="1" ht="15.6">
      <c r="A1272" s="81" t="s">
        <v>4186</v>
      </c>
      <c r="B1272" s="67"/>
      <c r="C1272" s="67"/>
      <c r="D1272" s="32"/>
      <c r="E1272" s="32"/>
      <c r="F1272" s="32"/>
      <c r="G1272" s="52"/>
      <c r="H1272" s="52"/>
      <c r="I1272" s="52"/>
      <c r="J1272" s="32"/>
      <c r="K1272" s="32"/>
      <c r="L1272" s="33"/>
      <c r="M1272" s="33"/>
      <c r="N1272" s="34"/>
    </row>
    <row r="1273" spans="1:14" customFormat="1" ht="69">
      <c r="A1273" s="35" t="s">
        <v>2877</v>
      </c>
      <c r="B1273" s="19" t="s">
        <v>2878</v>
      </c>
      <c r="C1273" s="20" t="s">
        <v>2879</v>
      </c>
      <c r="D1273" s="36" t="s">
        <v>28</v>
      </c>
      <c r="E1273" s="37" t="s">
        <v>3260</v>
      </c>
      <c r="F1273" s="43">
        <v>8.1</v>
      </c>
      <c r="G1273" s="100">
        <f t="shared" si="19"/>
        <v>8.1</v>
      </c>
      <c r="H1273" s="101"/>
      <c r="I1273" s="100">
        <f>G1273*H1273</f>
        <v>0</v>
      </c>
      <c r="J1273" s="39" t="s">
        <v>3336</v>
      </c>
      <c r="K1273" s="40" t="s">
        <v>31</v>
      </c>
      <c r="L1273" s="41"/>
      <c r="M1273" s="42" t="str">
        <f>HYPERLINK("https://catalog.onliner.by/xmaslights/neonnight/405144", "https://catalog.onliner.by/xmaslights/neonnight/405144")</f>
        <v>https://catalog.onliner.by/xmaslights/neonnight/405144</v>
      </c>
      <c r="N1273" s="42" t="str">
        <f>HYPERLINK("https://pronto.by/catalog/product/405-144.html", "https://pronto.by/catalog/product/405-144.html")</f>
        <v>https://pronto.by/catalog/product/405-144.html</v>
      </c>
    </row>
    <row r="1274" spans="1:14" customFormat="1" ht="69">
      <c r="A1274" s="35" t="s">
        <v>2880</v>
      </c>
      <c r="B1274" s="19" t="s">
        <v>2881</v>
      </c>
      <c r="C1274" s="20" t="s">
        <v>2882</v>
      </c>
      <c r="D1274" s="36" t="s">
        <v>28</v>
      </c>
      <c r="E1274" s="37" t="s">
        <v>3260</v>
      </c>
      <c r="F1274" s="43">
        <v>8.52</v>
      </c>
      <c r="G1274" s="100">
        <f t="shared" si="19"/>
        <v>8.52</v>
      </c>
      <c r="H1274" s="101"/>
      <c r="I1274" s="100">
        <f>G1274*H1274</f>
        <v>0</v>
      </c>
      <c r="J1274" s="39" t="s">
        <v>3336</v>
      </c>
      <c r="K1274" s="40" t="s">
        <v>31</v>
      </c>
      <c r="L1274" s="41"/>
      <c r="M1274" s="42" t="str">
        <f>HYPERLINK("https://catalog.onliner.by/xmaslights/neonnight/405143", "https://catalog.onliner.by/xmaslights/neonnight/405143")</f>
        <v>https://catalog.onliner.by/xmaslights/neonnight/405143</v>
      </c>
      <c r="N1274" s="42" t="str">
        <f>HYPERLINK("https://pronto.by/catalog/product/405-143.html", "https://pronto.by/catalog/product/405-143.html")</f>
        <v>https://pronto.by/catalog/product/405-143.html</v>
      </c>
    </row>
    <row r="1275" spans="1:14" customFormat="1" ht="15.6">
      <c r="A1275" s="81" t="s">
        <v>4187</v>
      </c>
      <c r="B1275" s="67"/>
      <c r="C1275" s="67"/>
      <c r="D1275" s="32"/>
      <c r="E1275" s="32"/>
      <c r="F1275" s="32"/>
      <c r="G1275" s="52"/>
      <c r="H1275" s="52"/>
      <c r="I1275" s="52"/>
      <c r="J1275" s="32"/>
      <c r="K1275" s="32"/>
      <c r="L1275" s="33"/>
      <c r="M1275" s="33"/>
      <c r="N1275" s="34"/>
    </row>
    <row r="1276" spans="1:14" customFormat="1" ht="41.4">
      <c r="A1276" s="35" t="s">
        <v>2883</v>
      </c>
      <c r="B1276" s="19" t="s">
        <v>2884</v>
      </c>
      <c r="C1276" s="20" t="s">
        <v>2885</v>
      </c>
      <c r="D1276" s="36" t="s">
        <v>28</v>
      </c>
      <c r="E1276" s="37" t="s">
        <v>3260</v>
      </c>
      <c r="F1276" s="43">
        <v>7.38</v>
      </c>
      <c r="G1276" s="100">
        <f t="shared" si="19"/>
        <v>7.38</v>
      </c>
      <c r="H1276" s="101"/>
      <c r="I1276" s="100">
        <f>G1276*H1276</f>
        <v>0</v>
      </c>
      <c r="J1276" s="39" t="s">
        <v>3336</v>
      </c>
      <c r="K1276" s="40" t="s">
        <v>31</v>
      </c>
      <c r="L1276" s="41"/>
      <c r="M1276" s="42" t="str">
        <f>HYPERLINK("https://catalog.onliner.by/lightbulb/neonnight/601801", "https://catalog.onliner.by/lightbulb/neonnight/601801")</f>
        <v>https://catalog.onliner.by/lightbulb/neonnight/601801</v>
      </c>
      <c r="N1276" s="42" t="str">
        <f>HYPERLINK("https://pronto.by/catalog/product/601-801.html", "https://pronto.by/catalog/product/601-801.html")</f>
        <v>https://pronto.by/catalog/product/601-801.html</v>
      </c>
    </row>
    <row r="1277" spans="1:14" customFormat="1" ht="41.4">
      <c r="A1277" s="35" t="s">
        <v>2886</v>
      </c>
      <c r="B1277" s="19" t="s">
        <v>2887</v>
      </c>
      <c r="C1277" s="20" t="s">
        <v>2888</v>
      </c>
      <c r="D1277" s="36" t="s">
        <v>28</v>
      </c>
      <c r="E1277" s="37" t="s">
        <v>3260</v>
      </c>
      <c r="F1277" s="43">
        <v>7.38</v>
      </c>
      <c r="G1277" s="100">
        <f t="shared" si="19"/>
        <v>7.38</v>
      </c>
      <c r="H1277" s="101"/>
      <c r="I1277" s="100">
        <f>G1277*H1277</f>
        <v>0</v>
      </c>
      <c r="J1277" s="39" t="s">
        <v>3336</v>
      </c>
      <c r="K1277" s="40" t="s">
        <v>31</v>
      </c>
      <c r="L1277" s="41"/>
      <c r="M1277" s="42" t="str">
        <f>HYPERLINK("https://catalog.onliner.by/lightbulb/neonnight/601802", "https://catalog.onliner.by/lightbulb/neonnight/601802")</f>
        <v>https://catalog.onliner.by/lightbulb/neonnight/601802</v>
      </c>
      <c r="N1277" s="42" t="str">
        <f>HYPERLINK("https://pronto.by/catalog/product/601-802.html", "https://pronto.by/catalog/product/601-802.html")</f>
        <v>https://pronto.by/catalog/product/601-802.html</v>
      </c>
    </row>
    <row r="1278" spans="1:14" customFormat="1" ht="15.6">
      <c r="A1278" s="81" t="s">
        <v>4188</v>
      </c>
      <c r="B1278" s="67"/>
      <c r="C1278" s="67"/>
      <c r="D1278" s="32"/>
      <c r="E1278" s="32"/>
      <c r="F1278" s="32"/>
      <c r="G1278" s="52"/>
      <c r="H1278" s="52"/>
      <c r="I1278" s="52"/>
      <c r="J1278" s="32"/>
      <c r="K1278" s="32"/>
      <c r="L1278" s="33"/>
      <c r="M1278" s="33"/>
      <c r="N1278" s="34"/>
    </row>
    <row r="1279" spans="1:14" customFormat="1" ht="41.4">
      <c r="A1279" s="35" t="s">
        <v>2889</v>
      </c>
      <c r="B1279" s="19" t="s">
        <v>2890</v>
      </c>
      <c r="C1279" s="20" t="s">
        <v>2891</v>
      </c>
      <c r="D1279" s="36" t="s">
        <v>28</v>
      </c>
      <c r="E1279" s="37" t="s">
        <v>3260</v>
      </c>
      <c r="F1279" s="43">
        <v>19.62</v>
      </c>
      <c r="G1279" s="100">
        <f t="shared" si="19"/>
        <v>19.62</v>
      </c>
      <c r="H1279" s="101"/>
      <c r="I1279" s="100">
        <f>G1279*H1279</f>
        <v>0</v>
      </c>
      <c r="J1279" s="39" t="s">
        <v>3336</v>
      </c>
      <c r="K1279" s="40" t="s">
        <v>31</v>
      </c>
      <c r="L1279" s="41"/>
      <c r="M1279" s="42" t="str">
        <f>HYPERLINK("https://catalog.onliner.by/xmaslights/neonnight/411125", "https://catalog.onliner.by/xmaslights/neonnight/411125")</f>
        <v>https://catalog.onliner.by/xmaslights/neonnight/411125</v>
      </c>
      <c r="N1279" s="42" t="str">
        <f>HYPERLINK("https://pronto.by/catalog/product/411-125.html", "https://pronto.by/catalog/product/411-125.html")</f>
        <v>https://pronto.by/catalog/product/411-125.html</v>
      </c>
    </row>
    <row r="1280" spans="1:14" customFormat="1" ht="41.4">
      <c r="A1280" s="35" t="s">
        <v>2892</v>
      </c>
      <c r="B1280" s="19" t="s">
        <v>2893</v>
      </c>
      <c r="C1280" s="20" t="s">
        <v>2894</v>
      </c>
      <c r="D1280" s="36" t="s">
        <v>28</v>
      </c>
      <c r="E1280" s="37" t="s">
        <v>3260</v>
      </c>
      <c r="F1280" s="43">
        <v>17.82</v>
      </c>
      <c r="G1280" s="100">
        <f t="shared" si="19"/>
        <v>17.82</v>
      </c>
      <c r="H1280" s="101"/>
      <c r="I1280" s="100">
        <f>G1280*H1280</f>
        <v>0</v>
      </c>
      <c r="J1280" s="39" t="s">
        <v>3336</v>
      </c>
      <c r="K1280" s="40" t="s">
        <v>31</v>
      </c>
      <c r="L1280" s="41"/>
      <c r="M1280" s="42" t="str">
        <f>HYPERLINK("https://catalog.onliner.by/xmaslights/neonnight/411122", "https://catalog.onliner.by/xmaslights/neonnight/411122")</f>
        <v>https://catalog.onliner.by/xmaslights/neonnight/411122</v>
      </c>
      <c r="N1280" s="42" t="str">
        <f>HYPERLINK("https://pronto.by/catalog/product/411-122.html", "https://pronto.by/catalog/product/411-122.html")</f>
        <v>https://pronto.by/catalog/product/411-122.html</v>
      </c>
    </row>
    <row r="1281" spans="1:14" customFormat="1" ht="41.4">
      <c r="A1281" s="35" t="s">
        <v>2895</v>
      </c>
      <c r="B1281" s="19" t="s">
        <v>2896</v>
      </c>
      <c r="C1281" s="20" t="s">
        <v>2897</v>
      </c>
      <c r="D1281" s="36" t="s">
        <v>28</v>
      </c>
      <c r="E1281" s="37" t="s">
        <v>3260</v>
      </c>
      <c r="F1281" s="43">
        <v>19.62</v>
      </c>
      <c r="G1281" s="100">
        <f t="shared" si="19"/>
        <v>19.62</v>
      </c>
      <c r="H1281" s="101"/>
      <c r="I1281" s="100">
        <f>G1281*H1281</f>
        <v>0</v>
      </c>
      <c r="J1281" s="39" t="s">
        <v>3336</v>
      </c>
      <c r="K1281" s="40" t="s">
        <v>31</v>
      </c>
      <c r="L1281" s="41"/>
      <c r="M1281" s="42" t="str">
        <f>HYPERLINK("https://catalog.onliner.by/xmaslights/neonnight/411123", "https://catalog.onliner.by/xmaslights/neonnight/411123")</f>
        <v>https://catalog.onliner.by/xmaslights/neonnight/411123</v>
      </c>
      <c r="N1281" s="42" t="str">
        <f>HYPERLINK("https://pronto.by/catalog/product/411-123.html", "https://pronto.by/catalog/product/411-123.html")</f>
        <v>https://pronto.by/catalog/product/411-123.html</v>
      </c>
    </row>
    <row r="1282" spans="1:14" customFormat="1" ht="15.6">
      <c r="A1282" s="81" t="s">
        <v>4189</v>
      </c>
      <c r="B1282" s="67"/>
      <c r="C1282" s="67"/>
      <c r="D1282" s="32"/>
      <c r="E1282" s="32"/>
      <c r="F1282" s="32"/>
      <c r="G1282" s="52"/>
      <c r="H1282" s="52"/>
      <c r="I1282" s="52"/>
      <c r="J1282" s="32"/>
      <c r="K1282" s="32"/>
      <c r="L1282" s="33"/>
      <c r="M1282" s="33"/>
      <c r="N1282" s="34"/>
    </row>
    <row r="1283" spans="1:14" customFormat="1" ht="41.4">
      <c r="A1283" s="35" t="s">
        <v>2898</v>
      </c>
      <c r="B1283" s="19" t="s">
        <v>2899</v>
      </c>
      <c r="C1283" s="20" t="s">
        <v>2900</v>
      </c>
      <c r="D1283" s="36" t="s">
        <v>28</v>
      </c>
      <c r="E1283" s="37" t="s">
        <v>3260</v>
      </c>
      <c r="F1283" s="43">
        <v>22.680000000000003</v>
      </c>
      <c r="G1283" s="100">
        <f t="shared" si="19"/>
        <v>22.68</v>
      </c>
      <c r="H1283" s="101"/>
      <c r="I1283" s="100">
        <f>G1283*H1283</f>
        <v>0</v>
      </c>
      <c r="J1283" s="39" t="s">
        <v>3336</v>
      </c>
      <c r="K1283" s="40" t="s">
        <v>31</v>
      </c>
      <c r="L1283" s="41"/>
      <c r="M1283" s="42" t="str">
        <f>HYPERLINK("https://catalog.onliner.by/xmaslights/neonnight/nn415115", "https://catalog.onliner.by/xmaslights/neonnight/nn415115")</f>
        <v>https://catalog.onliner.by/xmaslights/neonnight/nn415115</v>
      </c>
      <c r="N1283" s="42" t="str">
        <f>HYPERLINK("https://pronto.by/catalog/product/415-115.html", "https://pronto.by/catalog/product/415-115.html")</f>
        <v>https://pronto.by/catalog/product/415-115.html</v>
      </c>
    </row>
    <row r="1284" spans="1:14" customFormat="1" ht="15.6">
      <c r="A1284" s="81" t="s">
        <v>4190</v>
      </c>
      <c r="B1284" s="67"/>
      <c r="C1284" s="67"/>
      <c r="D1284" s="32"/>
      <c r="E1284" s="32"/>
      <c r="F1284" s="32"/>
      <c r="G1284" s="52"/>
      <c r="H1284" s="52"/>
      <c r="I1284" s="52"/>
      <c r="J1284" s="32"/>
      <c r="K1284" s="32"/>
      <c r="L1284" s="33"/>
      <c r="M1284" s="33"/>
      <c r="N1284" s="34"/>
    </row>
    <row r="1285" spans="1:14" customFormat="1" ht="15.6">
      <c r="A1285" s="81" t="s">
        <v>4191</v>
      </c>
      <c r="B1285" s="67"/>
      <c r="C1285" s="67"/>
      <c r="D1285" s="32"/>
      <c r="E1285" s="32"/>
      <c r="F1285" s="32"/>
      <c r="G1285" s="52"/>
      <c r="H1285" s="52"/>
      <c r="I1285" s="52"/>
      <c r="J1285" s="32"/>
      <c r="K1285" s="32"/>
      <c r="L1285" s="33"/>
      <c r="M1285" s="33"/>
      <c r="N1285" s="34"/>
    </row>
    <row r="1286" spans="1:14" customFormat="1" ht="27.6">
      <c r="A1286" s="35" t="s">
        <v>2901</v>
      </c>
      <c r="B1286" s="19" t="s">
        <v>2902</v>
      </c>
      <c r="C1286" s="20" t="s">
        <v>2903</v>
      </c>
      <c r="D1286" s="36" t="s">
        <v>28</v>
      </c>
      <c r="E1286" s="37" t="s">
        <v>4192</v>
      </c>
      <c r="F1286" s="43">
        <v>7.38</v>
      </c>
      <c r="G1286" s="100">
        <f t="shared" si="19"/>
        <v>7.38</v>
      </c>
      <c r="H1286" s="101"/>
      <c r="I1286" s="100">
        <f>G1286*H1286</f>
        <v>0</v>
      </c>
      <c r="J1286" s="39" t="s">
        <v>3336</v>
      </c>
      <c r="K1286" s="40" t="s">
        <v>31</v>
      </c>
      <c r="L1286" s="41"/>
      <c r="M1286" s="44" t="e">
        <f>VLOOKUP(A1286,#REF!,4,0)</f>
        <v>#REF!</v>
      </c>
      <c r="N1286" s="42" t="str">
        <f>HYPERLINK("https://pronto.by/catalog/product/502-071.html", "https://pronto.by/catalog/product/502-071.html")</f>
        <v>https://pronto.by/catalog/product/502-071.html</v>
      </c>
    </row>
    <row r="1287" spans="1:14" customFormat="1" ht="27.6">
      <c r="A1287" s="35" t="s">
        <v>2904</v>
      </c>
      <c r="B1287" s="19" t="s">
        <v>2905</v>
      </c>
      <c r="C1287" s="20" t="s">
        <v>2906</v>
      </c>
      <c r="D1287" s="36" t="s">
        <v>28</v>
      </c>
      <c r="E1287" s="37" t="s">
        <v>4192</v>
      </c>
      <c r="F1287" s="43">
        <v>7.38</v>
      </c>
      <c r="G1287" s="100">
        <f t="shared" si="19"/>
        <v>7.38</v>
      </c>
      <c r="H1287" s="101"/>
      <c r="I1287" s="100">
        <f>G1287*H1287</f>
        <v>0</v>
      </c>
      <c r="J1287" s="39" t="s">
        <v>3336</v>
      </c>
      <c r="K1287" s="40" t="s">
        <v>31</v>
      </c>
      <c r="L1287" s="41"/>
      <c r="M1287" s="44" t="e">
        <f>VLOOKUP(A1287,#REF!,4,0)</f>
        <v>#REF!</v>
      </c>
      <c r="N1287" s="42" t="str">
        <f>HYPERLINK("https://pronto.by/catalog/product/502-072.html", "https://pronto.by/catalog/product/502-072.html")</f>
        <v>https://pronto.by/catalog/product/502-072.html</v>
      </c>
    </row>
    <row r="1288" spans="1:14" customFormat="1" ht="27.6">
      <c r="A1288" s="35" t="s">
        <v>2907</v>
      </c>
      <c r="B1288" s="19" t="s">
        <v>2908</v>
      </c>
      <c r="C1288" s="20" t="s">
        <v>2909</v>
      </c>
      <c r="D1288" s="36" t="s">
        <v>28</v>
      </c>
      <c r="E1288" s="37" t="s">
        <v>4192</v>
      </c>
      <c r="F1288" s="43">
        <v>8.6999999999999993</v>
      </c>
      <c r="G1288" s="100">
        <f t="shared" si="19"/>
        <v>8.6999999999999993</v>
      </c>
      <c r="H1288" s="101"/>
      <c r="I1288" s="100">
        <f>G1288*H1288</f>
        <v>0</v>
      </c>
      <c r="J1288" s="39" t="s">
        <v>3336</v>
      </c>
      <c r="K1288" s="40" t="s">
        <v>31</v>
      </c>
      <c r="L1288" s="41"/>
      <c r="M1288" s="44" t="e">
        <f>VLOOKUP(A1288,#REF!,4,0)</f>
        <v>#REF!</v>
      </c>
      <c r="N1288" s="42" t="str">
        <f>HYPERLINK("https://pronto.by/catalog/product/502-075.html", "https://pronto.by/catalog/product/502-075.html")</f>
        <v>https://pronto.by/catalog/product/502-075.html</v>
      </c>
    </row>
    <row r="1289" spans="1:14" customFormat="1" ht="27.6">
      <c r="A1289" s="35" t="s">
        <v>2910</v>
      </c>
      <c r="B1289" s="19" t="s">
        <v>2911</v>
      </c>
      <c r="C1289" s="20" t="s">
        <v>2912</v>
      </c>
      <c r="D1289" s="36" t="s">
        <v>28</v>
      </c>
      <c r="E1289" s="37" t="s">
        <v>4192</v>
      </c>
      <c r="F1289" s="43">
        <v>8.6999999999999993</v>
      </c>
      <c r="G1289" s="100">
        <f t="shared" si="19"/>
        <v>8.6999999999999993</v>
      </c>
      <c r="H1289" s="101"/>
      <c r="I1289" s="100">
        <f>G1289*H1289</f>
        <v>0</v>
      </c>
      <c r="J1289" s="39" t="s">
        <v>3336</v>
      </c>
      <c r="K1289" s="40" t="s">
        <v>31</v>
      </c>
      <c r="L1289" s="41"/>
      <c r="M1289" s="44" t="e">
        <f>VLOOKUP(A1289,#REF!,4,0)</f>
        <v>#REF!</v>
      </c>
      <c r="N1289" s="42" t="str">
        <f>HYPERLINK("https://pronto.by/catalog/product/502-073.html", "https://pronto.by/catalog/product/502-073.html")</f>
        <v>https://pronto.by/catalog/product/502-073.html</v>
      </c>
    </row>
    <row r="1290" spans="1:14" customFormat="1" ht="30.6">
      <c r="A1290" s="35" t="s">
        <v>2913</v>
      </c>
      <c r="B1290" s="19" t="s">
        <v>2914</v>
      </c>
      <c r="C1290" s="20" t="s">
        <v>2915</v>
      </c>
      <c r="D1290" s="36" t="s">
        <v>28</v>
      </c>
      <c r="E1290" s="37" t="s">
        <v>3284</v>
      </c>
      <c r="F1290" s="43">
        <v>18.78</v>
      </c>
      <c r="G1290" s="100">
        <f t="shared" si="19"/>
        <v>18.78</v>
      </c>
      <c r="H1290" s="101"/>
      <c r="I1290" s="100">
        <f>G1290*H1290</f>
        <v>0</v>
      </c>
      <c r="J1290" s="39" t="s">
        <v>3336</v>
      </c>
      <c r="K1290" s="40" t="s">
        <v>31</v>
      </c>
      <c r="L1290" s="41"/>
      <c r="M1290" s="42" t="str">
        <f>HYPERLINK("https://catalog.onliner.by/christmasdecor/neonnight/nn502021", "https://catalog.onliner.by/christmasdecor/neonnight/nn502021")</f>
        <v>https://catalog.onliner.by/christmasdecor/neonnight/nn502021</v>
      </c>
      <c r="N1290" s="42" t="str">
        <f>HYPERLINK("https://pronto.by/catalog/product/502-021.html", "https://pronto.by/catalog/product/502-021.html")</f>
        <v>https://pronto.by/catalog/product/502-021.html</v>
      </c>
    </row>
    <row r="1291" spans="1:14" customFormat="1" ht="30.6">
      <c r="A1291" s="35" t="s">
        <v>2916</v>
      </c>
      <c r="B1291" s="19" t="s">
        <v>2917</v>
      </c>
      <c r="C1291" s="20" t="s">
        <v>2918</v>
      </c>
      <c r="D1291" s="36" t="s">
        <v>28</v>
      </c>
      <c r="E1291" s="37" t="s">
        <v>3279</v>
      </c>
      <c r="F1291" s="43">
        <v>18.78</v>
      </c>
      <c r="G1291" s="100">
        <f t="shared" si="19"/>
        <v>18.78</v>
      </c>
      <c r="H1291" s="101"/>
      <c r="I1291" s="100">
        <f>G1291*H1291</f>
        <v>0</v>
      </c>
      <c r="J1291" s="39" t="s">
        <v>3336</v>
      </c>
      <c r="K1291" s="40" t="s">
        <v>31</v>
      </c>
      <c r="L1291" s="41"/>
      <c r="M1291" s="42" t="str">
        <f>HYPERLINK("https://catalog.onliner.by/christmasdecor/neonnight/nn502022", "https://catalog.onliner.by/christmasdecor/neonnight/nn502022")</f>
        <v>https://catalog.onliner.by/christmasdecor/neonnight/nn502022</v>
      </c>
      <c r="N1291" s="42" t="str">
        <f>HYPERLINK("https://pronto.by/catalog/product/502-022.html", "https://pronto.by/catalog/product/502-022.html")</f>
        <v>https://pronto.by/catalog/product/502-022.html</v>
      </c>
    </row>
    <row r="1292" spans="1:14" customFormat="1" ht="30.6">
      <c r="A1292" s="35" t="s">
        <v>2919</v>
      </c>
      <c r="B1292" s="19" t="s">
        <v>2920</v>
      </c>
      <c r="C1292" s="20" t="s">
        <v>2921</v>
      </c>
      <c r="D1292" s="36" t="s">
        <v>28</v>
      </c>
      <c r="E1292" s="37" t="s">
        <v>3261</v>
      </c>
      <c r="F1292" s="43">
        <v>18.78</v>
      </c>
      <c r="G1292" s="100">
        <f t="shared" si="19"/>
        <v>18.78</v>
      </c>
      <c r="H1292" s="101"/>
      <c r="I1292" s="100">
        <f>G1292*H1292</f>
        <v>0</v>
      </c>
      <c r="J1292" s="39" t="s">
        <v>3336</v>
      </c>
      <c r="K1292" s="40" t="s">
        <v>31</v>
      </c>
      <c r="L1292" s="41"/>
      <c r="M1292" s="42" t="str">
        <f>HYPERLINK("https://catalog.onliner.by/christmasdecor/neonnight/nn502025", "https://catalog.onliner.by/christmasdecor/neonnight/nn502025")</f>
        <v>https://catalog.onliner.by/christmasdecor/neonnight/nn502025</v>
      </c>
      <c r="N1292" s="42" t="str">
        <f>HYPERLINK("https://pronto.by/catalog/product/502-025.html", "https://pronto.by/catalog/product/502-025.html")</f>
        <v>https://pronto.by/catalog/product/502-025.html</v>
      </c>
    </row>
    <row r="1293" spans="1:14" customFormat="1" ht="30.6">
      <c r="A1293" s="35" t="s">
        <v>2922</v>
      </c>
      <c r="B1293" s="19" t="s">
        <v>2923</v>
      </c>
      <c r="C1293" s="20" t="s">
        <v>2924</v>
      </c>
      <c r="D1293" s="36" t="s">
        <v>28</v>
      </c>
      <c r="E1293" s="37" t="s">
        <v>3261</v>
      </c>
      <c r="F1293" s="43">
        <v>18.78</v>
      </c>
      <c r="G1293" s="100">
        <f t="shared" si="19"/>
        <v>18.78</v>
      </c>
      <c r="H1293" s="101"/>
      <c r="I1293" s="100">
        <f>G1293*H1293</f>
        <v>0</v>
      </c>
      <c r="J1293" s="39" t="s">
        <v>3336</v>
      </c>
      <c r="K1293" s="40" t="s">
        <v>31</v>
      </c>
      <c r="L1293" s="41"/>
      <c r="M1293" s="42" t="str">
        <f>HYPERLINK("https://catalog.onliner.by/christmasdecor/neonnight/nn502023", "https://catalog.onliner.by/christmasdecor/neonnight/nn502023")</f>
        <v>https://catalog.onliner.by/christmasdecor/neonnight/nn502023</v>
      </c>
      <c r="N1293" s="42" t="str">
        <f>HYPERLINK("https://pronto.by/catalog/product/502-023.html", "https://pronto.by/catalog/product/502-023.html")</f>
        <v>https://pronto.by/catalog/product/502-023.html</v>
      </c>
    </row>
    <row r="1294" spans="1:14" customFormat="1" ht="27.6">
      <c r="A1294" s="35" t="s">
        <v>4193</v>
      </c>
      <c r="B1294" s="19" t="s">
        <v>4194</v>
      </c>
      <c r="C1294" s="20" t="s">
        <v>4195</v>
      </c>
      <c r="D1294" s="36" t="s">
        <v>28</v>
      </c>
      <c r="E1294" s="37" t="s">
        <v>3297</v>
      </c>
      <c r="F1294" s="43">
        <v>52.980000000000004</v>
      </c>
      <c r="G1294" s="100">
        <f t="shared" si="19"/>
        <v>52.98</v>
      </c>
      <c r="H1294" s="101"/>
      <c r="I1294" s="100">
        <f>G1294*H1294</f>
        <v>0</v>
      </c>
      <c r="J1294" s="39" t="s">
        <v>3336</v>
      </c>
      <c r="K1294" s="40" t="s">
        <v>31</v>
      </c>
      <c r="L1294" s="41"/>
      <c r="M1294" s="44" t="e">
        <f>VLOOKUP(A1294,#REF!,4,0)</f>
        <v>#REF!</v>
      </c>
      <c r="N1294" s="42" t="str">
        <f>HYPERLINK("https://pronto.by/catalog/product/502-001.html", "https://pronto.by/catalog/product/502-001.html")</f>
        <v>https://pronto.by/catalog/product/502-001.html</v>
      </c>
    </row>
    <row r="1295" spans="1:14" customFormat="1" ht="27.6">
      <c r="A1295" s="35" t="s">
        <v>4196</v>
      </c>
      <c r="B1295" s="19" t="s">
        <v>4197</v>
      </c>
      <c r="C1295" s="20" t="s">
        <v>4198</v>
      </c>
      <c r="D1295" s="36" t="s">
        <v>28</v>
      </c>
      <c r="E1295" s="37" t="s">
        <v>3277</v>
      </c>
      <c r="F1295" s="43">
        <v>52.980000000000004</v>
      </c>
      <c r="G1295" s="100">
        <f t="shared" ref="G1295:G1358" si="20">ROUND(F1295-F1295*G$3,2)</f>
        <v>52.98</v>
      </c>
      <c r="H1295" s="101"/>
      <c r="I1295" s="100">
        <f>G1295*H1295</f>
        <v>0</v>
      </c>
      <c r="J1295" s="39" t="s">
        <v>3336</v>
      </c>
      <c r="K1295" s="40" t="s">
        <v>31</v>
      </c>
      <c r="L1295" s="41"/>
      <c r="M1295" s="44" t="e">
        <f>VLOOKUP(A1295,#REF!,4,0)</f>
        <v>#REF!</v>
      </c>
      <c r="N1295" s="42" t="str">
        <f>HYPERLINK("https://pronto.by/catalog/product/502-002.html", "https://pronto.by/catalog/product/502-002.html")</f>
        <v>https://pronto.by/catalog/product/502-002.html</v>
      </c>
    </row>
    <row r="1296" spans="1:14" customFormat="1" ht="27.6">
      <c r="A1296" s="35" t="s">
        <v>4199</v>
      </c>
      <c r="B1296" s="19" t="s">
        <v>4200</v>
      </c>
      <c r="C1296" s="20" t="s">
        <v>4201</v>
      </c>
      <c r="D1296" s="36" t="s">
        <v>28</v>
      </c>
      <c r="E1296" s="37" t="s">
        <v>3277</v>
      </c>
      <c r="F1296" s="43">
        <v>52.980000000000004</v>
      </c>
      <c r="G1296" s="100">
        <f t="shared" si="20"/>
        <v>52.98</v>
      </c>
      <c r="H1296" s="101"/>
      <c r="I1296" s="100">
        <f>G1296*H1296</f>
        <v>0</v>
      </c>
      <c r="J1296" s="39" t="s">
        <v>3336</v>
      </c>
      <c r="K1296" s="40" t="s">
        <v>31</v>
      </c>
      <c r="L1296" s="41"/>
      <c r="M1296" s="44" t="e">
        <f>VLOOKUP(A1296,#REF!,4,0)</f>
        <v>#REF!</v>
      </c>
      <c r="N1296" s="42" t="str">
        <f>HYPERLINK("https://pronto.by/catalog/product/502-005.html", "https://pronto.by/catalog/product/502-005.html")</f>
        <v>https://pronto.by/catalog/product/502-005.html</v>
      </c>
    </row>
    <row r="1297" spans="1:14" customFormat="1" ht="27.6">
      <c r="A1297" s="35" t="s">
        <v>2925</v>
      </c>
      <c r="B1297" s="19" t="s">
        <v>2926</v>
      </c>
      <c r="C1297" s="20" t="s">
        <v>2927</v>
      </c>
      <c r="D1297" s="36" t="s">
        <v>28</v>
      </c>
      <c r="E1297" s="37" t="s">
        <v>3277</v>
      </c>
      <c r="F1297" s="43">
        <v>43.68</v>
      </c>
      <c r="G1297" s="100">
        <f t="shared" si="20"/>
        <v>43.68</v>
      </c>
      <c r="H1297" s="101"/>
      <c r="I1297" s="100">
        <f>G1297*H1297</f>
        <v>0</v>
      </c>
      <c r="J1297" s="39" t="s">
        <v>3336</v>
      </c>
      <c r="K1297" s="40" t="s">
        <v>31</v>
      </c>
      <c r="L1297" s="41"/>
      <c r="M1297" s="44" t="e">
        <f>VLOOKUP(A1297,#REF!,4,0)</f>
        <v>#REF!</v>
      </c>
      <c r="N1297" s="42" t="str">
        <f>HYPERLINK("https://pronto.by/catalog/product/502-003.html", "https://pronto.by/catalog/product/502-003.html")</f>
        <v>https://pronto.by/catalog/product/502-003.html</v>
      </c>
    </row>
    <row r="1298" spans="1:14" customFormat="1" ht="27.6">
      <c r="A1298" s="35" t="s">
        <v>4202</v>
      </c>
      <c r="B1298" s="19" t="s">
        <v>4203</v>
      </c>
      <c r="C1298" s="20" t="s">
        <v>4204</v>
      </c>
      <c r="D1298" s="36" t="s">
        <v>28</v>
      </c>
      <c r="E1298" s="37" t="s">
        <v>3282</v>
      </c>
      <c r="F1298" s="43">
        <v>84.48</v>
      </c>
      <c r="G1298" s="100">
        <f t="shared" si="20"/>
        <v>84.48</v>
      </c>
      <c r="H1298" s="101"/>
      <c r="I1298" s="100">
        <f>G1298*H1298</f>
        <v>0</v>
      </c>
      <c r="J1298" s="39" t="s">
        <v>3336</v>
      </c>
      <c r="K1298" s="40" t="s">
        <v>31</v>
      </c>
      <c r="L1298" s="41"/>
      <c r="M1298" s="44" t="e">
        <f>VLOOKUP(A1298,#REF!,4,0)</f>
        <v>#REF!</v>
      </c>
      <c r="N1298" s="42" t="str">
        <f>HYPERLINK("https://pronto.by/catalog/product/502-011.html", "https://pronto.by/catalog/product/502-011.html")</f>
        <v>https://pronto.by/catalog/product/502-011.html</v>
      </c>
    </row>
    <row r="1299" spans="1:14" customFormat="1" ht="27.6">
      <c r="A1299" s="35" t="s">
        <v>4205</v>
      </c>
      <c r="B1299" s="19" t="s">
        <v>4206</v>
      </c>
      <c r="C1299" s="20" t="s">
        <v>4207</v>
      </c>
      <c r="D1299" s="36" t="s">
        <v>28</v>
      </c>
      <c r="E1299" s="37" t="s">
        <v>3292</v>
      </c>
      <c r="F1299" s="43">
        <v>84.48</v>
      </c>
      <c r="G1299" s="100">
        <f t="shared" si="20"/>
        <v>84.48</v>
      </c>
      <c r="H1299" s="101"/>
      <c r="I1299" s="100">
        <f>G1299*H1299</f>
        <v>0</v>
      </c>
      <c r="J1299" s="39" t="s">
        <v>3336</v>
      </c>
      <c r="K1299" s="40" t="s">
        <v>31</v>
      </c>
      <c r="L1299" s="41"/>
      <c r="M1299" s="44" t="e">
        <f>VLOOKUP(A1299,#REF!,4,0)</f>
        <v>#REF!</v>
      </c>
      <c r="N1299" s="42" t="str">
        <f>HYPERLINK("https://pronto.by/catalog/product/502-012.html", "https://pronto.by/catalog/product/502-012.html")</f>
        <v>https://pronto.by/catalog/product/502-012.html</v>
      </c>
    </row>
    <row r="1300" spans="1:14" customFormat="1" ht="27.6">
      <c r="A1300" s="35" t="s">
        <v>4208</v>
      </c>
      <c r="B1300" s="19" t="s">
        <v>4209</v>
      </c>
      <c r="C1300" s="20" t="s">
        <v>4210</v>
      </c>
      <c r="D1300" s="36" t="s">
        <v>28</v>
      </c>
      <c r="E1300" s="37" t="s">
        <v>3292</v>
      </c>
      <c r="F1300" s="43">
        <v>84.48</v>
      </c>
      <c r="G1300" s="100">
        <f t="shared" si="20"/>
        <v>84.48</v>
      </c>
      <c r="H1300" s="101"/>
      <c r="I1300" s="100">
        <f>G1300*H1300</f>
        <v>0</v>
      </c>
      <c r="J1300" s="39" t="s">
        <v>3336</v>
      </c>
      <c r="K1300" s="40" t="s">
        <v>31</v>
      </c>
      <c r="L1300" s="41"/>
      <c r="M1300" s="44" t="e">
        <f>VLOOKUP(A1300,#REF!,4,0)</f>
        <v>#REF!</v>
      </c>
      <c r="N1300" s="42" t="str">
        <f>HYPERLINK("https://pronto.by/catalog/product/502-015.html", "https://pronto.by/catalog/product/502-015.html")</f>
        <v>https://pronto.by/catalog/product/502-015.html</v>
      </c>
    </row>
    <row r="1301" spans="1:14" customFormat="1" ht="27.6">
      <c r="A1301" s="35" t="s">
        <v>2928</v>
      </c>
      <c r="B1301" s="19" t="s">
        <v>2929</v>
      </c>
      <c r="C1301" s="20" t="s">
        <v>2930</v>
      </c>
      <c r="D1301" s="36" t="s">
        <v>28</v>
      </c>
      <c r="E1301" s="37" t="s">
        <v>3292</v>
      </c>
      <c r="F1301" s="43">
        <v>84.48</v>
      </c>
      <c r="G1301" s="100">
        <f t="shared" si="20"/>
        <v>84.48</v>
      </c>
      <c r="H1301" s="101"/>
      <c r="I1301" s="100">
        <f>G1301*H1301</f>
        <v>0</v>
      </c>
      <c r="J1301" s="39" t="s">
        <v>3336</v>
      </c>
      <c r="K1301" s="40" t="s">
        <v>31</v>
      </c>
      <c r="L1301" s="41"/>
      <c r="M1301" s="44" t="e">
        <f>VLOOKUP(A1301,#REF!,4,0)</f>
        <v>#REF!</v>
      </c>
      <c r="N1301" s="42" t="str">
        <f>HYPERLINK("https://pronto.by/catalog/product/502-013.html", "https://pronto.by/catalog/product/502-013.html")</f>
        <v>https://pronto.by/catalog/product/502-013.html</v>
      </c>
    </row>
    <row r="1302" spans="1:14" customFormat="1" ht="71.400000000000006">
      <c r="A1302" s="35" t="s">
        <v>2931</v>
      </c>
      <c r="B1302" s="19" t="s">
        <v>2932</v>
      </c>
      <c r="C1302" s="20" t="s">
        <v>2933</v>
      </c>
      <c r="D1302" s="36" t="s">
        <v>28</v>
      </c>
      <c r="E1302" s="37" t="s">
        <v>3279</v>
      </c>
      <c r="F1302" s="43">
        <v>18.78</v>
      </c>
      <c r="G1302" s="100">
        <f t="shared" si="20"/>
        <v>18.78</v>
      </c>
      <c r="H1302" s="101"/>
      <c r="I1302" s="100">
        <f>G1302*H1302</f>
        <v>0</v>
      </c>
      <c r="J1302" s="39" t="s">
        <v>3336</v>
      </c>
      <c r="K1302" s="40" t="s">
        <v>31</v>
      </c>
      <c r="L1302" s="41"/>
      <c r="M1302" s="62" t="str">
        <f>HYPERLINK("https://catalog.onliner.by/christmasdecor/neonnight/nn502301", "https://catalog.onliner.by/christmasdecor/neonnight/nn502301")</f>
        <v>https://catalog.onliner.by/christmasdecor/neonnight/nn502301</v>
      </c>
      <c r="N1302" s="42" t="str">
        <f>HYPERLINK("https://pronto.by/catalog/prazdnichnaya-svetotehnika/professional-professionalnye-proekty/elochnye-igrushki/shary-elochnye/502-301.html", "https://pronto.by/catalog/prazdnichnaya-svetotehnika/professional-professionalnye-proekty/elochnye-igrushki/shary-elochnye/502-301.html")</f>
        <v>https://pronto.by/catalog/prazdnichnaya-svetotehnika/professional-professionalnye-proekty/elochnye-igrushki/shary-elochnye/502-301.html</v>
      </c>
    </row>
    <row r="1303" spans="1:14" customFormat="1" ht="71.400000000000006">
      <c r="A1303" s="35" t="s">
        <v>2934</v>
      </c>
      <c r="B1303" s="19" t="s">
        <v>2935</v>
      </c>
      <c r="C1303" s="20" t="s">
        <v>2936</v>
      </c>
      <c r="D1303" s="36" t="s">
        <v>28</v>
      </c>
      <c r="E1303" s="37" t="s">
        <v>3279</v>
      </c>
      <c r="F1303" s="43">
        <v>18.78</v>
      </c>
      <c r="G1303" s="100">
        <f t="shared" si="20"/>
        <v>18.78</v>
      </c>
      <c r="H1303" s="101"/>
      <c r="I1303" s="100">
        <f>G1303*H1303</f>
        <v>0</v>
      </c>
      <c r="J1303" s="39" t="s">
        <v>3336</v>
      </c>
      <c r="K1303" s="40" t="s">
        <v>31</v>
      </c>
      <c r="L1303" s="41"/>
      <c r="M1303" s="62" t="str">
        <f>HYPERLINK("https://catalog.onliner.by/christmasdecor/neonnight/nn502302", "https://catalog.onliner.by/christmasdecor/neonnight/nn502302")</f>
        <v>https://catalog.onliner.by/christmasdecor/neonnight/nn502302</v>
      </c>
      <c r="N1303" s="42" t="str">
        <f>HYPERLINK("https://pronto.by/catalog/prazdnichnaya-svetotehnika/professional-professionalnye-proekty/elochnye-igrushki/shary-elochnye/502-302.html", "https://pronto.by/catalog/prazdnichnaya-svetotehnika/professional-professionalnye-proekty/elochnye-igrushki/shary-elochnye/502-302.html")</f>
        <v>https://pronto.by/catalog/prazdnichnaya-svetotehnika/professional-professionalnye-proekty/elochnye-igrushki/shary-elochnye/502-302.html</v>
      </c>
    </row>
    <row r="1304" spans="1:14" customFormat="1" ht="71.400000000000006">
      <c r="A1304" s="35" t="s">
        <v>2937</v>
      </c>
      <c r="B1304" s="19" t="s">
        <v>2938</v>
      </c>
      <c r="C1304" s="20" t="s">
        <v>2939</v>
      </c>
      <c r="D1304" s="36" t="s">
        <v>28</v>
      </c>
      <c r="E1304" s="37" t="s">
        <v>3266</v>
      </c>
      <c r="F1304" s="43">
        <v>17.88</v>
      </c>
      <c r="G1304" s="100">
        <f t="shared" si="20"/>
        <v>17.88</v>
      </c>
      <c r="H1304" s="101"/>
      <c r="I1304" s="100">
        <f>G1304*H1304</f>
        <v>0</v>
      </c>
      <c r="J1304" s="39" t="s">
        <v>3336</v>
      </c>
      <c r="K1304" s="40" t="s">
        <v>31</v>
      </c>
      <c r="L1304" s="41"/>
      <c r="M1304" s="62" t="str">
        <f>HYPERLINK("https://catalog.onliner.by/christmasdecor/neonnight/nn502305", "https://catalog.onliner.by/christmasdecor/neonnight/nn502305")</f>
        <v>https://catalog.onliner.by/christmasdecor/neonnight/nn502305</v>
      </c>
      <c r="N1304" s="42" t="str">
        <f>HYPERLINK("https://pronto.by/catalog/prazdnichnaya-svetotehnika/professional-professionalnye-proekty/elochnye-igrushki/shary-elochnye/502-305.html", "https://pronto.by/catalog/prazdnichnaya-svetotehnika/professional-professionalnye-proekty/elochnye-igrushki/shary-elochnye/502-305.html")</f>
        <v>https://pronto.by/catalog/prazdnichnaya-svetotehnika/professional-professionalnye-proekty/elochnye-igrushki/shary-elochnye/502-305.html</v>
      </c>
    </row>
    <row r="1305" spans="1:14" customFormat="1" ht="71.400000000000006">
      <c r="A1305" s="35" t="s">
        <v>2940</v>
      </c>
      <c r="B1305" s="19" t="s">
        <v>2941</v>
      </c>
      <c r="C1305" s="20" t="s">
        <v>2942</v>
      </c>
      <c r="D1305" s="36" t="s">
        <v>28</v>
      </c>
      <c r="E1305" s="37" t="s">
        <v>3266</v>
      </c>
      <c r="F1305" s="43">
        <v>17.88</v>
      </c>
      <c r="G1305" s="100">
        <f t="shared" si="20"/>
        <v>17.88</v>
      </c>
      <c r="H1305" s="101"/>
      <c r="I1305" s="100">
        <f>G1305*H1305</f>
        <v>0</v>
      </c>
      <c r="J1305" s="39" t="s">
        <v>3336</v>
      </c>
      <c r="K1305" s="40" t="s">
        <v>31</v>
      </c>
      <c r="L1305" s="41"/>
      <c r="M1305" s="62" t="str">
        <f>HYPERLINK("https://catalog.onliner.by/christmasdecor/neonnight/nn502303", "https://catalog.onliner.by/christmasdecor/neonnight/nn502303")</f>
        <v>https://catalog.onliner.by/christmasdecor/neonnight/nn502303</v>
      </c>
      <c r="N1305" s="42" t="str">
        <f>HYPERLINK("https://pronto.by/catalog/prazdnichnaya-svetotehnika/professional-professionalnye-proekty/elochnye-igrushki/shary-elochnye/502-303.html", "https://pronto.by/catalog/prazdnichnaya-svetotehnika/professional-professionalnye-proekty/elochnye-igrushki/shary-elochnye/502-303.html")</f>
        <v>https://pronto.by/catalog/prazdnichnaya-svetotehnika/professional-professionalnye-proekty/elochnye-igrushki/shary-elochnye/502-303.html</v>
      </c>
    </row>
    <row r="1306" spans="1:14" customFormat="1" ht="71.400000000000006">
      <c r="A1306" s="35" t="s">
        <v>2943</v>
      </c>
      <c r="B1306" s="19" t="s">
        <v>2944</v>
      </c>
      <c r="C1306" s="20" t="s">
        <v>2945</v>
      </c>
      <c r="D1306" s="36" t="s">
        <v>28</v>
      </c>
      <c r="E1306" s="37" t="s">
        <v>3297</v>
      </c>
      <c r="F1306" s="43">
        <v>52.980000000000004</v>
      </c>
      <c r="G1306" s="100">
        <f t="shared" si="20"/>
        <v>52.98</v>
      </c>
      <c r="H1306" s="101"/>
      <c r="I1306" s="100">
        <f>G1306*H1306</f>
        <v>0</v>
      </c>
      <c r="J1306" s="39" t="s">
        <v>3336</v>
      </c>
      <c r="K1306" s="40" t="s">
        <v>31</v>
      </c>
      <c r="L1306" s="41"/>
      <c r="M1306" s="62" t="str">
        <f>HYPERLINK("https://catalog.onliner.by/christmasdecor/neonnight/nn502251", "https://catalog.onliner.by/christmasdecor/neonnight/nn502251")</f>
        <v>https://catalog.onliner.by/christmasdecor/neonnight/nn502251</v>
      </c>
      <c r="N1306" s="42" t="str">
        <f>HYPERLINK("https://pronto.by/catalog/prazdnichnaya-svetotehnika/professional-professionalnye-proekty/elochnye-igrushki/shary-elochnye/502-251.html", "https://pronto.by/catalog/prazdnichnaya-svetotehnika/professional-professionalnye-proekty/elochnye-igrushki/shary-elochnye/502-251.html")</f>
        <v>https://pronto.by/catalog/prazdnichnaya-svetotehnika/professional-professionalnye-proekty/elochnye-igrushki/shary-elochnye/502-251.html</v>
      </c>
    </row>
    <row r="1307" spans="1:14" customFormat="1" ht="71.400000000000006">
      <c r="A1307" s="35" t="s">
        <v>2946</v>
      </c>
      <c r="B1307" s="19" t="s">
        <v>2947</v>
      </c>
      <c r="C1307" s="20" t="s">
        <v>2948</v>
      </c>
      <c r="D1307" s="36" t="s">
        <v>28</v>
      </c>
      <c r="E1307" s="37" t="s">
        <v>3297</v>
      </c>
      <c r="F1307" s="43">
        <v>52.980000000000004</v>
      </c>
      <c r="G1307" s="100">
        <f t="shared" si="20"/>
        <v>52.98</v>
      </c>
      <c r="H1307" s="101"/>
      <c r="I1307" s="100">
        <f>G1307*H1307</f>
        <v>0</v>
      </c>
      <c r="J1307" s="39" t="s">
        <v>3336</v>
      </c>
      <c r="K1307" s="40" t="s">
        <v>31</v>
      </c>
      <c r="L1307" s="41"/>
      <c r="M1307" s="62" t="str">
        <f>HYPERLINK("https://catalog.onliner.by/christmasdecor/neonnight/nn502252", "https://catalog.onliner.by/christmasdecor/neonnight/nn502252")</f>
        <v>https://catalog.onliner.by/christmasdecor/neonnight/nn502252</v>
      </c>
      <c r="N1307" s="42" t="str">
        <f>HYPERLINK("https://pronto.by/catalog/prazdnichnaya-svetotehnika/professional-professionalnye-proekty/elochnye-igrushki/shary-elochnye/502-252.html", "https://pronto.by/catalog/prazdnichnaya-svetotehnika/professional-professionalnye-proekty/elochnye-igrushki/shary-elochnye/502-252.html")</f>
        <v>https://pronto.by/catalog/prazdnichnaya-svetotehnika/professional-professionalnye-proekty/elochnye-igrushki/shary-elochnye/502-252.html</v>
      </c>
    </row>
    <row r="1308" spans="1:14" customFormat="1" ht="15.6">
      <c r="A1308" s="81" t="s">
        <v>4211</v>
      </c>
      <c r="B1308" s="67"/>
      <c r="C1308" s="67"/>
      <c r="D1308" s="32"/>
      <c r="E1308" s="32"/>
      <c r="F1308" s="32"/>
      <c r="G1308" s="52"/>
      <c r="H1308" s="52"/>
      <c r="I1308" s="52"/>
      <c r="J1308" s="32"/>
      <c r="K1308" s="32"/>
      <c r="L1308" s="33"/>
      <c r="M1308" s="33"/>
      <c r="N1308" s="34"/>
    </row>
    <row r="1309" spans="1:14" customFormat="1" ht="30.6">
      <c r="A1309" s="35" t="s">
        <v>2949</v>
      </c>
      <c r="B1309" s="19" t="s">
        <v>2950</v>
      </c>
      <c r="C1309" s="20" t="s">
        <v>2951</v>
      </c>
      <c r="D1309" s="36" t="s">
        <v>28</v>
      </c>
      <c r="E1309" s="37" t="s">
        <v>3295</v>
      </c>
      <c r="F1309" s="43">
        <v>229.38</v>
      </c>
      <c r="G1309" s="100">
        <f t="shared" si="20"/>
        <v>229.38</v>
      </c>
      <c r="H1309" s="101"/>
      <c r="I1309" s="100">
        <f>G1309*H1309</f>
        <v>0</v>
      </c>
      <c r="J1309" s="39" t="s">
        <v>3336</v>
      </c>
      <c r="K1309" s="40" t="s">
        <v>31</v>
      </c>
      <c r="L1309" s="41"/>
      <c r="M1309" s="42" t="str">
        <f>HYPERLINK("https://catalog.onliner.by/christmasdecor/neonnight/nn502393", "https://catalog.onliner.by/christmasdecor/neonnight/nn502393")</f>
        <v>https://catalog.onliner.by/christmasdecor/neonnight/nn502393</v>
      </c>
      <c r="N1309" s="42" t="str">
        <f>HYPERLINK("https://pronto.by/catalog/product/502-393.html", "https://pronto.by/catalog/product/502-393.html")</f>
        <v>https://pronto.by/catalog/product/502-393.html</v>
      </c>
    </row>
    <row r="1310" spans="1:14" customFormat="1" ht="30.6">
      <c r="A1310" s="35" t="s">
        <v>4212</v>
      </c>
      <c r="B1310" s="19" t="s">
        <v>4213</v>
      </c>
      <c r="C1310" s="20" t="s">
        <v>4214</v>
      </c>
      <c r="D1310" s="36" t="s">
        <v>28</v>
      </c>
      <c r="E1310" s="37" t="s">
        <v>3282</v>
      </c>
      <c r="F1310" s="43">
        <v>35.64</v>
      </c>
      <c r="G1310" s="100">
        <f t="shared" si="20"/>
        <v>35.64</v>
      </c>
      <c r="H1310" s="101"/>
      <c r="I1310" s="100">
        <f>G1310*H1310</f>
        <v>0</v>
      </c>
      <c r="J1310" s="39" t="s">
        <v>3336</v>
      </c>
      <c r="K1310" s="40" t="s">
        <v>31</v>
      </c>
      <c r="L1310" s="41"/>
      <c r="M1310" s="42" t="str">
        <f>HYPERLINK("https://catalog.onliner.by/christmasdecor/neonnight/nn502392e", "https://catalog.onliner.by/christmasdecor/neonnight/nn502392e")</f>
        <v>https://catalog.onliner.by/christmasdecor/neonnight/nn502392e</v>
      </c>
      <c r="N1310" s="42" t="str">
        <f>HYPERLINK("https://pronto.by/catalog/product/502-392.html", "https://pronto.by/catalog/product/502-392.html")</f>
        <v>https://pronto.by/catalog/product/502-392.html</v>
      </c>
    </row>
    <row r="1311" spans="1:14" customFormat="1" ht="27.6">
      <c r="A1311" s="35" t="s">
        <v>4215</v>
      </c>
      <c r="B1311" s="19" t="s">
        <v>4216</v>
      </c>
      <c r="C1311" s="20" t="s">
        <v>4217</v>
      </c>
      <c r="D1311" s="36" t="s">
        <v>28</v>
      </c>
      <c r="E1311" s="37" t="s">
        <v>3310</v>
      </c>
      <c r="F1311" s="43">
        <v>15.06</v>
      </c>
      <c r="G1311" s="100">
        <f t="shared" si="20"/>
        <v>15.06</v>
      </c>
      <c r="H1311" s="101"/>
      <c r="I1311" s="100">
        <f>G1311*H1311</f>
        <v>0</v>
      </c>
      <c r="J1311" s="39" t="s">
        <v>3336</v>
      </c>
      <c r="K1311" s="40" t="s">
        <v>31</v>
      </c>
      <c r="L1311" s="41"/>
      <c r="M1311" s="44" t="e">
        <f>VLOOKUP(A1311,#REF!,4,0)</f>
        <v>#REF!</v>
      </c>
      <c r="N1311" s="42" t="str">
        <f>HYPERLINK("https://pronto.by/catalog/product/502-161.html", "https://pronto.by/catalog/product/502-161.html")</f>
        <v>https://pronto.by/catalog/product/502-161.html</v>
      </c>
    </row>
    <row r="1312" spans="1:14" customFormat="1" ht="30.6">
      <c r="A1312" s="35" t="s">
        <v>4218</v>
      </c>
      <c r="B1312" s="19" t="s">
        <v>4219</v>
      </c>
      <c r="C1312" s="20" t="s">
        <v>4220</v>
      </c>
      <c r="D1312" s="36" t="s">
        <v>28</v>
      </c>
      <c r="E1312" s="37" t="s">
        <v>3292</v>
      </c>
      <c r="F1312" s="43">
        <v>72.48</v>
      </c>
      <c r="G1312" s="100">
        <f t="shared" si="20"/>
        <v>72.48</v>
      </c>
      <c r="H1312" s="101"/>
      <c r="I1312" s="100">
        <f>G1312*H1312</f>
        <v>0</v>
      </c>
      <c r="J1312" s="39" t="s">
        <v>3336</v>
      </c>
      <c r="K1312" s="40" t="s">
        <v>31</v>
      </c>
      <c r="L1312" s="41"/>
      <c r="M1312" s="42" t="str">
        <f>HYPERLINK("https://catalog.onliner.by/christmasdecor/neonnight/nn502214", "https://catalog.onliner.by/christmasdecor/neonnight/nn502214")</f>
        <v>https://catalog.onliner.by/christmasdecor/neonnight/nn502214</v>
      </c>
      <c r="N1312" s="42" t="str">
        <f>HYPERLINK("https://pronto.by/catalog/product/502-214.html", "https://pronto.by/catalog/product/502-214.html")</f>
        <v>https://pronto.by/catalog/product/502-214.html</v>
      </c>
    </row>
    <row r="1313" spans="1:14" customFormat="1" ht="30.6">
      <c r="A1313" s="35" t="s">
        <v>4221</v>
      </c>
      <c r="B1313" s="19" t="s">
        <v>4222</v>
      </c>
      <c r="C1313" s="20" t="s">
        <v>4223</v>
      </c>
      <c r="D1313" s="36" t="s">
        <v>28</v>
      </c>
      <c r="E1313" s="37" t="s">
        <v>3292</v>
      </c>
      <c r="F1313" s="43">
        <v>57.96</v>
      </c>
      <c r="G1313" s="100">
        <f t="shared" si="20"/>
        <v>57.96</v>
      </c>
      <c r="H1313" s="101"/>
      <c r="I1313" s="100">
        <f>G1313*H1313</f>
        <v>0</v>
      </c>
      <c r="J1313" s="39" t="s">
        <v>3336</v>
      </c>
      <c r="K1313" s="40" t="s">
        <v>31</v>
      </c>
      <c r="L1313" s="41"/>
      <c r="M1313" s="42" t="str">
        <f>HYPERLINK("https://catalog.onliner.by/christmasdecor/neonnight/nn502216", "https://catalog.onliner.by/christmasdecor/neonnight/nn502216")</f>
        <v>https://catalog.onliner.by/christmasdecor/neonnight/nn502216</v>
      </c>
      <c r="N1313" s="42" t="str">
        <f>HYPERLINK("https://pronto.by/catalog/product/502-216.html", "https://pronto.by/catalog/product/502-216.html")</f>
        <v>https://pronto.by/catalog/product/502-216.html</v>
      </c>
    </row>
    <row r="1314" spans="1:14" customFormat="1" ht="30.6">
      <c r="A1314" s="35" t="s">
        <v>2952</v>
      </c>
      <c r="B1314" s="19" t="s">
        <v>2953</v>
      </c>
      <c r="C1314" s="20" t="s">
        <v>2954</v>
      </c>
      <c r="D1314" s="36" t="s">
        <v>28</v>
      </c>
      <c r="E1314" s="37" t="s">
        <v>3292</v>
      </c>
      <c r="F1314" s="43">
        <v>69.36</v>
      </c>
      <c r="G1314" s="100">
        <f t="shared" si="20"/>
        <v>69.36</v>
      </c>
      <c r="H1314" s="101"/>
      <c r="I1314" s="100">
        <f>G1314*H1314</f>
        <v>0</v>
      </c>
      <c r="J1314" s="39" t="s">
        <v>3336</v>
      </c>
      <c r="K1314" s="40" t="s">
        <v>31</v>
      </c>
      <c r="L1314" s="41"/>
      <c r="M1314" s="42" t="str">
        <f>HYPERLINK("https://catalog.onliner.by/christmasdecor/neonnight/nn502082", "https://catalog.onliner.by/christmasdecor/neonnight/nn502082")</f>
        <v>https://catalog.onliner.by/christmasdecor/neonnight/nn502082</v>
      </c>
      <c r="N1314" s="42" t="str">
        <f>HYPERLINK("https://pronto.by/catalog/product/502-082.html", "https://pronto.by/catalog/product/502-082.html")</f>
        <v>https://pronto.by/catalog/product/502-082.html</v>
      </c>
    </row>
    <row r="1315" spans="1:14" customFormat="1" ht="41.4">
      <c r="A1315" s="35" t="s">
        <v>2955</v>
      </c>
      <c r="B1315" s="19" t="s">
        <v>2956</v>
      </c>
      <c r="C1315" s="20" t="s">
        <v>2957</v>
      </c>
      <c r="D1315" s="36" t="s">
        <v>28</v>
      </c>
      <c r="E1315" s="37" t="s">
        <v>3285</v>
      </c>
      <c r="F1315" s="43">
        <v>167.46</v>
      </c>
      <c r="G1315" s="100">
        <f t="shared" si="20"/>
        <v>167.46</v>
      </c>
      <c r="H1315" s="101"/>
      <c r="I1315" s="100">
        <f>G1315*H1315</f>
        <v>0</v>
      </c>
      <c r="J1315" s="39" t="s">
        <v>3336</v>
      </c>
      <c r="K1315" s="40" t="s">
        <v>31</v>
      </c>
      <c r="L1315" s="41"/>
      <c r="M1315" s="42" t="str">
        <f>HYPERLINK("https://catalog.onliner.by/christmasdecor/neonnight/nn502243", "https://catalog.onliner.by/christmasdecor/neonnight/nn502243")</f>
        <v>https://catalog.onliner.by/christmasdecor/neonnight/nn502243</v>
      </c>
      <c r="N1315" s="42" t="str">
        <f>HYPERLINK("https://pronto.by/catalog/product/502-243.html", "https://pronto.by/catalog/product/502-243.html")</f>
        <v>https://pronto.by/catalog/product/502-243.html</v>
      </c>
    </row>
    <row r="1316" spans="1:14" customFormat="1" ht="41.4">
      <c r="A1316" s="35" t="s">
        <v>2958</v>
      </c>
      <c r="B1316" s="19" t="s">
        <v>2959</v>
      </c>
      <c r="C1316" s="20" t="s">
        <v>2960</v>
      </c>
      <c r="D1316" s="36" t="s">
        <v>28</v>
      </c>
      <c r="E1316" s="37" t="s">
        <v>3285</v>
      </c>
      <c r="F1316" s="43">
        <v>206.76000000000002</v>
      </c>
      <c r="G1316" s="100">
        <f t="shared" si="20"/>
        <v>206.76</v>
      </c>
      <c r="H1316" s="101"/>
      <c r="I1316" s="100">
        <f>G1316*H1316</f>
        <v>0</v>
      </c>
      <c r="J1316" s="39" t="s">
        <v>3336</v>
      </c>
      <c r="K1316" s="40" t="s">
        <v>31</v>
      </c>
      <c r="L1316" s="41"/>
      <c r="M1316" s="42" t="str">
        <f>HYPERLINK("https://catalog.onliner.by/christmasdecor/neonnight/nn502247", "https://catalog.onliner.by/christmasdecor/neonnight/nn502247")</f>
        <v>https://catalog.onliner.by/christmasdecor/neonnight/nn502247</v>
      </c>
      <c r="N1316" s="42" t="str">
        <f>HYPERLINK("https://pronto.by/catalog/product/502-247.html", "https://pronto.by/catalog/product/502-247.html")</f>
        <v>https://pronto.by/catalog/product/502-247.html</v>
      </c>
    </row>
    <row r="1317" spans="1:14" customFormat="1" ht="41.4">
      <c r="A1317" s="35" t="s">
        <v>2961</v>
      </c>
      <c r="B1317" s="19" t="s">
        <v>2962</v>
      </c>
      <c r="C1317" s="20" t="s">
        <v>2963</v>
      </c>
      <c r="D1317" s="36" t="s">
        <v>28</v>
      </c>
      <c r="E1317" s="37" t="s">
        <v>3290</v>
      </c>
      <c r="F1317" s="43">
        <v>259.26</v>
      </c>
      <c r="G1317" s="100">
        <f t="shared" si="20"/>
        <v>259.26</v>
      </c>
      <c r="H1317" s="101"/>
      <c r="I1317" s="100">
        <f>G1317*H1317</f>
        <v>0</v>
      </c>
      <c r="J1317" s="39" t="s">
        <v>3336</v>
      </c>
      <c r="K1317" s="40" t="s">
        <v>31</v>
      </c>
      <c r="L1317" s="41"/>
      <c r="M1317" s="42" t="str">
        <f>HYPERLINK("https://catalog.onliner.by/christmasdecor/neonnight/nn502391", "https://catalog.onliner.by/christmasdecor/neonnight/nn502391")</f>
        <v>https://catalog.onliner.by/christmasdecor/neonnight/nn502391</v>
      </c>
      <c r="N1317" s="42" t="str">
        <f>HYPERLINK("https://pronto.by/catalog/product/502-391.html", "https://pronto.by/catalog/product/502-391.html")</f>
        <v>https://pronto.by/catalog/product/502-391.html</v>
      </c>
    </row>
    <row r="1318" spans="1:14" customFormat="1" ht="30.6">
      <c r="A1318" s="35" t="s">
        <v>2964</v>
      </c>
      <c r="B1318" s="19" t="s">
        <v>2965</v>
      </c>
      <c r="C1318" s="20" t="s">
        <v>2966</v>
      </c>
      <c r="D1318" s="36" t="s">
        <v>28</v>
      </c>
      <c r="E1318" s="37" t="s">
        <v>4224</v>
      </c>
      <c r="F1318" s="43">
        <v>51.660000000000004</v>
      </c>
      <c r="G1318" s="100">
        <f t="shared" si="20"/>
        <v>51.66</v>
      </c>
      <c r="H1318" s="101"/>
      <c r="I1318" s="100">
        <f>G1318*H1318</f>
        <v>0</v>
      </c>
      <c r="J1318" s="39" t="s">
        <v>3336</v>
      </c>
      <c r="K1318" s="40" t="s">
        <v>31</v>
      </c>
      <c r="L1318" s="41"/>
      <c r="M1318" s="42" t="str">
        <f>HYPERLINK("https://catalog.onliner.by/christmasdecor/neonnight/nn502292", "https://catalog.onliner.by/christmasdecor/neonnight/nn502292")</f>
        <v>https://catalog.onliner.by/christmasdecor/neonnight/nn502292</v>
      </c>
      <c r="N1318" s="42" t="str">
        <f>HYPERLINK("https://pronto.by/catalog/product/502-292.html", "https://pronto.by/catalog/product/502-292.html")</f>
        <v>https://pronto.by/catalog/product/502-292.html</v>
      </c>
    </row>
    <row r="1319" spans="1:14" customFormat="1" ht="27.6">
      <c r="A1319" s="35" t="s">
        <v>4225</v>
      </c>
      <c r="B1319" s="19" t="s">
        <v>4226</v>
      </c>
      <c r="C1319" s="20" t="s">
        <v>4227</v>
      </c>
      <c r="D1319" s="36" t="s">
        <v>28</v>
      </c>
      <c r="E1319" s="37" t="s">
        <v>4228</v>
      </c>
      <c r="F1319" s="43">
        <v>40.020000000000003</v>
      </c>
      <c r="G1319" s="100">
        <f t="shared" si="20"/>
        <v>40.020000000000003</v>
      </c>
      <c r="H1319" s="101"/>
      <c r="I1319" s="100">
        <f>G1319*H1319</f>
        <v>0</v>
      </c>
      <c r="J1319" s="39" t="s">
        <v>3336</v>
      </c>
      <c r="K1319" s="40" t="s">
        <v>31</v>
      </c>
      <c r="L1319" s="41"/>
      <c r="M1319" s="44" t="e">
        <f>VLOOKUP(A1319,#REF!,4,0)</f>
        <v>#REF!</v>
      </c>
      <c r="N1319" s="42" t="str">
        <f>HYPERLINK("https://pronto.by/catalog/product/502-208.html", "https://pronto.by/catalog/product/502-208.html")</f>
        <v>https://pronto.by/catalog/product/502-208.html</v>
      </c>
    </row>
    <row r="1320" spans="1:14" customFormat="1" ht="30.6">
      <c r="A1320" s="35" t="s">
        <v>4229</v>
      </c>
      <c r="B1320" s="19" t="s">
        <v>4230</v>
      </c>
      <c r="C1320" s="20" t="s">
        <v>4231</v>
      </c>
      <c r="D1320" s="36" t="s">
        <v>28</v>
      </c>
      <c r="E1320" s="37" t="s">
        <v>4228</v>
      </c>
      <c r="F1320" s="43">
        <v>49.38</v>
      </c>
      <c r="G1320" s="100">
        <f t="shared" si="20"/>
        <v>49.38</v>
      </c>
      <c r="H1320" s="101"/>
      <c r="I1320" s="100">
        <f>G1320*H1320</f>
        <v>0</v>
      </c>
      <c r="J1320" s="39" t="s">
        <v>3336</v>
      </c>
      <c r="K1320" s="40" t="s">
        <v>31</v>
      </c>
      <c r="L1320" s="41"/>
      <c r="M1320" s="42" t="str">
        <f>HYPERLINK("https://catalog.onliner.by/christmasdecor/neonnight/nn502207", "https://catalog.onliner.by/christmasdecor/neonnight/nn502207")</f>
        <v>https://catalog.onliner.by/christmasdecor/neonnight/nn502207</v>
      </c>
      <c r="N1320" s="42" t="str">
        <f>HYPERLINK("https://pronto.by/catalog/product/502-207.html", "https://pronto.by/catalog/product/502-207.html")</f>
        <v>https://pronto.by/catalog/product/502-207.html</v>
      </c>
    </row>
    <row r="1321" spans="1:14" customFormat="1" ht="30.6">
      <c r="A1321" s="35" t="s">
        <v>4232</v>
      </c>
      <c r="B1321" s="19" t="s">
        <v>4233</v>
      </c>
      <c r="C1321" s="20" t="s">
        <v>4234</v>
      </c>
      <c r="D1321" s="36" t="s">
        <v>28</v>
      </c>
      <c r="E1321" s="37" t="s">
        <v>3292</v>
      </c>
      <c r="F1321" s="43">
        <v>88.320000000000007</v>
      </c>
      <c r="G1321" s="100">
        <f t="shared" si="20"/>
        <v>88.32</v>
      </c>
      <c r="H1321" s="101"/>
      <c r="I1321" s="100">
        <f>G1321*H1321</f>
        <v>0</v>
      </c>
      <c r="J1321" s="39" t="s">
        <v>3336</v>
      </c>
      <c r="K1321" s="40" t="s">
        <v>31</v>
      </c>
      <c r="L1321" s="41"/>
      <c r="M1321" s="42" t="str">
        <f>HYPERLINK("https://catalog.onliner.by/christmasdecor/neonnight/nn502210", "https://catalog.onliner.by/christmasdecor/neonnight/nn502210")</f>
        <v>https://catalog.onliner.by/christmasdecor/neonnight/nn502210</v>
      </c>
      <c r="N1321" s="42" t="str">
        <f>HYPERLINK("https://pronto.by/catalog/product/502-210.html", "https://pronto.by/catalog/product/502-210.html")</f>
        <v>https://pronto.by/catalog/product/502-210.html</v>
      </c>
    </row>
    <row r="1322" spans="1:14" customFormat="1" ht="41.4">
      <c r="A1322" s="35" t="s">
        <v>2967</v>
      </c>
      <c r="B1322" s="19" t="s">
        <v>2968</v>
      </c>
      <c r="C1322" s="20" t="s">
        <v>2969</v>
      </c>
      <c r="D1322" s="36" t="s">
        <v>28</v>
      </c>
      <c r="E1322" s="37" t="s">
        <v>3464</v>
      </c>
      <c r="F1322" s="43">
        <v>319.73999999999995</v>
      </c>
      <c r="G1322" s="100">
        <f t="shared" si="20"/>
        <v>319.74</v>
      </c>
      <c r="H1322" s="101"/>
      <c r="I1322" s="100">
        <f>G1322*H1322</f>
        <v>0</v>
      </c>
      <c r="J1322" s="39" t="s">
        <v>3336</v>
      </c>
      <c r="K1322" s="40" t="s">
        <v>31</v>
      </c>
      <c r="L1322" s="41"/>
      <c r="M1322" s="42" t="str">
        <f>HYPERLINK("https://catalog.onliner.by/christmasdecor/neonnight/nn502242", "https://catalog.onliner.by/christmasdecor/neonnight/nn502242")</f>
        <v>https://catalog.onliner.by/christmasdecor/neonnight/nn502242</v>
      </c>
      <c r="N1322" s="42" t="str">
        <f>HYPERLINK("https://pronto.by/catalog/product/502-242.html", "https://pronto.by/catalog/product/502-242.html")</f>
        <v>https://pronto.by/catalog/product/502-242.html</v>
      </c>
    </row>
    <row r="1323" spans="1:14" customFormat="1" ht="30.6">
      <c r="A1323" s="35" t="s">
        <v>2970</v>
      </c>
      <c r="B1323" s="19" t="s">
        <v>2971</v>
      </c>
      <c r="C1323" s="20" t="s">
        <v>2972</v>
      </c>
      <c r="D1323" s="36" t="s">
        <v>28</v>
      </c>
      <c r="E1323" s="37" t="s">
        <v>3285</v>
      </c>
      <c r="F1323" s="43">
        <v>143.1</v>
      </c>
      <c r="G1323" s="100">
        <f t="shared" si="20"/>
        <v>143.1</v>
      </c>
      <c r="H1323" s="101"/>
      <c r="I1323" s="100">
        <f>G1323*H1323</f>
        <v>0</v>
      </c>
      <c r="J1323" s="39" t="s">
        <v>3336</v>
      </c>
      <c r="K1323" s="40" t="s">
        <v>31</v>
      </c>
      <c r="L1323" s="41"/>
      <c r="M1323" s="42" t="str">
        <f>HYPERLINK("https://catalog.onliner.by/christmasdecor/neonnight/nn502249", "https://catalog.onliner.by/christmasdecor/neonnight/nn502249")</f>
        <v>https://catalog.onliner.by/christmasdecor/neonnight/nn502249</v>
      </c>
      <c r="N1323" s="42" t="str">
        <f>HYPERLINK("https://pronto.by/catalog/product/502-249.html", "https://pronto.by/catalog/product/502-249.html")</f>
        <v>https://pronto.by/catalog/product/502-249.html</v>
      </c>
    </row>
    <row r="1324" spans="1:14" customFormat="1" ht="41.4">
      <c r="A1324" s="35" t="s">
        <v>2973</v>
      </c>
      <c r="B1324" s="19" t="s">
        <v>2974</v>
      </c>
      <c r="C1324" s="20" t="s">
        <v>2975</v>
      </c>
      <c r="D1324" s="36" t="s">
        <v>28</v>
      </c>
      <c r="E1324" s="37" t="s">
        <v>3291</v>
      </c>
      <c r="F1324" s="43">
        <v>88.86</v>
      </c>
      <c r="G1324" s="100">
        <f t="shared" si="20"/>
        <v>88.86</v>
      </c>
      <c r="H1324" s="101"/>
      <c r="I1324" s="100">
        <f>G1324*H1324</f>
        <v>0</v>
      </c>
      <c r="J1324" s="39" t="s">
        <v>3336</v>
      </c>
      <c r="K1324" s="40" t="s">
        <v>31</v>
      </c>
      <c r="L1324" s="41"/>
      <c r="M1324" s="42" t="str">
        <f>HYPERLINK("https://catalog.onliner.by/christmasdecor/neonnight/nn502386", "https://catalog.onliner.by/christmasdecor/neonnight/nn502386")</f>
        <v>https://catalog.onliner.by/christmasdecor/neonnight/nn502386</v>
      </c>
      <c r="N1324" s="42" t="str">
        <f>HYPERLINK("https://pronto.by/catalog/product/502-386.html", "https://pronto.by/catalog/product/502-386.html")</f>
        <v>https://pronto.by/catalog/product/502-386.html</v>
      </c>
    </row>
    <row r="1325" spans="1:14" customFormat="1" ht="30.6">
      <c r="A1325" s="35" t="s">
        <v>2976</v>
      </c>
      <c r="B1325" s="19" t="s">
        <v>2977</v>
      </c>
      <c r="C1325" s="20" t="s">
        <v>2978</v>
      </c>
      <c r="D1325" s="36" t="s">
        <v>28</v>
      </c>
      <c r="E1325" s="37" t="s">
        <v>3291</v>
      </c>
      <c r="F1325" s="43">
        <v>88.86</v>
      </c>
      <c r="G1325" s="100">
        <f t="shared" si="20"/>
        <v>88.86</v>
      </c>
      <c r="H1325" s="101"/>
      <c r="I1325" s="100">
        <f>G1325*H1325</f>
        <v>0</v>
      </c>
      <c r="J1325" s="39" t="s">
        <v>3336</v>
      </c>
      <c r="K1325" s="40" t="s">
        <v>31</v>
      </c>
      <c r="L1325" s="41"/>
      <c r="M1325" s="42" t="str">
        <f>HYPERLINK("https://catalog.onliner.by/christmasdecor/neonnight/nn502373", "https://catalog.onliner.by/christmasdecor/neonnight/nn502373")</f>
        <v>https://catalog.onliner.by/christmasdecor/neonnight/nn502373</v>
      </c>
      <c r="N1325" s="42" t="str">
        <f>HYPERLINK("https://pronto.by/catalog/product/502-373.html", "https://pronto.by/catalog/product/502-373.html")</f>
        <v>https://pronto.by/catalog/product/502-373.html</v>
      </c>
    </row>
    <row r="1326" spans="1:14" customFormat="1" ht="30.6">
      <c r="A1326" s="35" t="s">
        <v>2979</v>
      </c>
      <c r="B1326" s="19" t="s">
        <v>2980</v>
      </c>
      <c r="C1326" s="20" t="s">
        <v>2981</v>
      </c>
      <c r="D1326" s="36" t="s">
        <v>28</v>
      </c>
      <c r="E1326" s="37" t="s">
        <v>3291</v>
      </c>
      <c r="F1326" s="43">
        <v>88.86</v>
      </c>
      <c r="G1326" s="100">
        <f t="shared" si="20"/>
        <v>88.86</v>
      </c>
      <c r="H1326" s="101"/>
      <c r="I1326" s="100">
        <f>G1326*H1326</f>
        <v>0</v>
      </c>
      <c r="J1326" s="39" t="s">
        <v>3336</v>
      </c>
      <c r="K1326" s="40" t="s">
        <v>31</v>
      </c>
      <c r="L1326" s="41"/>
      <c r="M1326" s="42" t="str">
        <f>HYPERLINK("https://catalog.onliner.by/christmasdecor/neonnight/nn502370", "https://catalog.onliner.by/christmasdecor/neonnight/nn502370")</f>
        <v>https://catalog.onliner.by/christmasdecor/neonnight/nn502370</v>
      </c>
      <c r="N1326" s="42" t="str">
        <f>HYPERLINK("https://pronto.by/catalog/product/502-370.html", "https://pronto.by/catalog/product/502-370.html")</f>
        <v>https://pronto.by/catalog/product/502-370.html</v>
      </c>
    </row>
    <row r="1327" spans="1:14" customFormat="1" ht="30.6">
      <c r="A1327" s="35" t="s">
        <v>2982</v>
      </c>
      <c r="B1327" s="19" t="s">
        <v>2983</v>
      </c>
      <c r="C1327" s="20" t="s">
        <v>2984</v>
      </c>
      <c r="D1327" s="36" t="s">
        <v>28</v>
      </c>
      <c r="E1327" s="37" t="s">
        <v>3291</v>
      </c>
      <c r="F1327" s="43">
        <v>88.86</v>
      </c>
      <c r="G1327" s="100">
        <f t="shared" si="20"/>
        <v>88.86</v>
      </c>
      <c r="H1327" s="101"/>
      <c r="I1327" s="100">
        <f>G1327*H1327</f>
        <v>0</v>
      </c>
      <c r="J1327" s="39" t="s">
        <v>3336</v>
      </c>
      <c r="K1327" s="40" t="s">
        <v>31</v>
      </c>
      <c r="L1327" s="41"/>
      <c r="M1327" s="42" t="str">
        <f>HYPERLINK("https://catalog.onliner.by/christmasdecor/neonnight/nn502371", "https://catalog.onliner.by/christmasdecor/neonnight/nn502371")</f>
        <v>https://catalog.onliner.by/christmasdecor/neonnight/nn502371</v>
      </c>
      <c r="N1327" s="42" t="str">
        <f>HYPERLINK("https://pronto.by/catalog/product/502-371.html", "https://pronto.by/catalog/product/502-371.html")</f>
        <v>https://pronto.by/catalog/product/502-371.html</v>
      </c>
    </row>
    <row r="1328" spans="1:14" customFormat="1" ht="30.6">
      <c r="A1328" s="35" t="s">
        <v>2985</v>
      </c>
      <c r="B1328" s="19" t="s">
        <v>2986</v>
      </c>
      <c r="C1328" s="20" t="s">
        <v>2987</v>
      </c>
      <c r="D1328" s="36" t="s">
        <v>28</v>
      </c>
      <c r="E1328" s="37" t="s">
        <v>3291</v>
      </c>
      <c r="F1328" s="43">
        <v>109.74</v>
      </c>
      <c r="G1328" s="100">
        <f t="shared" si="20"/>
        <v>109.74</v>
      </c>
      <c r="H1328" s="101"/>
      <c r="I1328" s="100">
        <f>G1328*H1328</f>
        <v>0</v>
      </c>
      <c r="J1328" s="39" t="s">
        <v>3336</v>
      </c>
      <c r="K1328" s="40" t="s">
        <v>31</v>
      </c>
      <c r="L1328" s="41"/>
      <c r="M1328" s="42" t="str">
        <f>HYPERLINK("https://catalog.onliner.by/christmasdecor/neonnight/nn502372", "https://catalog.onliner.by/christmasdecor/neonnight/nn502372")</f>
        <v>https://catalog.onliner.by/christmasdecor/neonnight/nn502372</v>
      </c>
      <c r="N1328" s="42" t="str">
        <f>HYPERLINK("https://pronto.by/catalog/product/502-372.html", "https://pronto.by/catalog/product/502-372.html")</f>
        <v>https://pronto.by/catalog/product/502-372.html</v>
      </c>
    </row>
    <row r="1329" spans="1:14" customFormat="1" ht="30.6">
      <c r="A1329" s="35" t="s">
        <v>2988</v>
      </c>
      <c r="B1329" s="19" t="s">
        <v>2989</v>
      </c>
      <c r="C1329" s="20" t="s">
        <v>2990</v>
      </c>
      <c r="D1329" s="36" t="s">
        <v>28</v>
      </c>
      <c r="E1329" s="37" t="s">
        <v>4224</v>
      </c>
      <c r="F1329" s="43">
        <v>117.48</v>
      </c>
      <c r="G1329" s="100">
        <f t="shared" si="20"/>
        <v>117.48</v>
      </c>
      <c r="H1329" s="101"/>
      <c r="I1329" s="100">
        <f>G1329*H1329</f>
        <v>0</v>
      </c>
      <c r="J1329" s="39" t="s">
        <v>3336</v>
      </c>
      <c r="K1329" s="40" t="s">
        <v>31</v>
      </c>
      <c r="L1329" s="41"/>
      <c r="M1329" s="42" t="str">
        <f>HYPERLINK("https://catalog.onliner.by/christmasdecor/neonnight/nn502361", "https://catalog.onliner.by/christmasdecor/neonnight/nn502361")</f>
        <v>https://catalog.onliner.by/christmasdecor/neonnight/nn502361</v>
      </c>
      <c r="N1329" s="42" t="str">
        <f>HYPERLINK("https://pronto.by/catalog/product/502-361.html", "https://pronto.by/catalog/product/502-361.html")</f>
        <v>https://pronto.by/catalog/product/502-361.html</v>
      </c>
    </row>
    <row r="1330" spans="1:14" customFormat="1" ht="30.6">
      <c r="A1330" s="35" t="s">
        <v>2991</v>
      </c>
      <c r="B1330" s="19" t="s">
        <v>2992</v>
      </c>
      <c r="C1330" s="20" t="s">
        <v>2993</v>
      </c>
      <c r="D1330" s="36" t="s">
        <v>28</v>
      </c>
      <c r="E1330" s="37" t="s">
        <v>4224</v>
      </c>
      <c r="F1330" s="43">
        <v>111.3</v>
      </c>
      <c r="G1330" s="100">
        <f t="shared" si="20"/>
        <v>111.3</v>
      </c>
      <c r="H1330" s="101"/>
      <c r="I1330" s="100">
        <f>G1330*H1330</f>
        <v>0</v>
      </c>
      <c r="J1330" s="39" t="s">
        <v>3336</v>
      </c>
      <c r="K1330" s="40" t="s">
        <v>31</v>
      </c>
      <c r="L1330" s="41"/>
      <c r="M1330" s="42" t="str">
        <f>HYPERLINK("https://catalog.onliner.by/christmasdecor/neonnight/nn502362", "https://catalog.onliner.by/christmasdecor/neonnight/nn502362")</f>
        <v>https://catalog.onliner.by/christmasdecor/neonnight/nn502362</v>
      </c>
      <c r="N1330" s="42" t="str">
        <f>HYPERLINK("https://pronto.by/catalog/product/502-362.html", "https://pronto.by/catalog/product/502-362.html")</f>
        <v>https://pronto.by/catalog/product/502-362.html</v>
      </c>
    </row>
    <row r="1331" spans="1:14" customFormat="1" ht="30.6">
      <c r="A1331" s="35" t="s">
        <v>2994</v>
      </c>
      <c r="B1331" s="19" t="s">
        <v>2995</v>
      </c>
      <c r="C1331" s="20" t="s">
        <v>2996</v>
      </c>
      <c r="D1331" s="36" t="s">
        <v>28</v>
      </c>
      <c r="E1331" s="37" t="s">
        <v>4224</v>
      </c>
      <c r="F1331" s="43">
        <v>76.8</v>
      </c>
      <c r="G1331" s="100">
        <f t="shared" si="20"/>
        <v>76.8</v>
      </c>
      <c r="H1331" s="101"/>
      <c r="I1331" s="100">
        <f>G1331*H1331</f>
        <v>0</v>
      </c>
      <c r="J1331" s="39" t="s">
        <v>3336</v>
      </c>
      <c r="K1331" s="40" t="s">
        <v>31</v>
      </c>
      <c r="L1331" s="41"/>
      <c r="M1331" s="42" t="str">
        <f>HYPERLINK("https://catalog.onliner.by/christmasdecor/neonnight/nn502363", "https://catalog.onliner.by/christmasdecor/neonnight/nn502363")</f>
        <v>https://catalog.onliner.by/christmasdecor/neonnight/nn502363</v>
      </c>
      <c r="N1331" s="42" t="str">
        <f>HYPERLINK("https://pronto.by/catalog/product/502-363.html", "https://pronto.by/catalog/product/502-363.html")</f>
        <v>https://pronto.by/catalog/product/502-363.html</v>
      </c>
    </row>
    <row r="1332" spans="1:14" customFormat="1" ht="30.6">
      <c r="A1332" s="35" t="s">
        <v>2997</v>
      </c>
      <c r="B1332" s="19" t="s">
        <v>2998</v>
      </c>
      <c r="C1332" s="20" t="s">
        <v>2999</v>
      </c>
      <c r="D1332" s="36" t="s">
        <v>28</v>
      </c>
      <c r="E1332" s="37" t="s">
        <v>3290</v>
      </c>
      <c r="F1332" s="43">
        <v>105.78</v>
      </c>
      <c r="G1332" s="100">
        <f t="shared" si="20"/>
        <v>105.78</v>
      </c>
      <c r="H1332" s="101"/>
      <c r="I1332" s="100">
        <f>G1332*H1332</f>
        <v>0</v>
      </c>
      <c r="J1332" s="39" t="s">
        <v>3336</v>
      </c>
      <c r="K1332" s="40" t="s">
        <v>31</v>
      </c>
      <c r="L1332" s="41"/>
      <c r="M1332" s="42" t="str">
        <f>HYPERLINK("https://catalog.onliner.by/christmasdecor/neonnight/nn502381", "https://catalog.onliner.by/christmasdecor/neonnight/nn502381")</f>
        <v>https://catalog.onliner.by/christmasdecor/neonnight/nn502381</v>
      </c>
      <c r="N1332" s="42" t="str">
        <f>HYPERLINK("https://pronto.by/catalog/product/502-381.html", "https://pronto.by/catalog/product/502-381.html")</f>
        <v>https://pronto.by/catalog/product/502-381.html</v>
      </c>
    </row>
    <row r="1333" spans="1:14" customFormat="1" ht="30.6">
      <c r="A1333" s="35" t="s">
        <v>3000</v>
      </c>
      <c r="B1333" s="19" t="s">
        <v>3001</v>
      </c>
      <c r="C1333" s="20" t="s">
        <v>3002</v>
      </c>
      <c r="D1333" s="36" t="s">
        <v>28</v>
      </c>
      <c r="E1333" s="37" t="s">
        <v>3290</v>
      </c>
      <c r="F1333" s="43">
        <v>105.78</v>
      </c>
      <c r="G1333" s="100">
        <f t="shared" si="20"/>
        <v>105.78</v>
      </c>
      <c r="H1333" s="101"/>
      <c r="I1333" s="100">
        <f>G1333*H1333</f>
        <v>0</v>
      </c>
      <c r="J1333" s="39" t="s">
        <v>3336</v>
      </c>
      <c r="K1333" s="40" t="s">
        <v>31</v>
      </c>
      <c r="L1333" s="41"/>
      <c r="M1333" s="42" t="str">
        <f>HYPERLINK("https://catalog.onliner.by/christmasdecor/neonnight/nn502382", "https://catalog.onliner.by/christmasdecor/neonnight/nn502382")</f>
        <v>https://catalog.onliner.by/christmasdecor/neonnight/nn502382</v>
      </c>
      <c r="N1333" s="42" t="str">
        <f>HYPERLINK("https://pronto.by/catalog/product/502-382.html", "https://pronto.by/catalog/product/502-382.html")</f>
        <v>https://pronto.by/catalog/product/502-382.html</v>
      </c>
    </row>
    <row r="1334" spans="1:14" customFormat="1" ht="30.6">
      <c r="A1334" s="35" t="s">
        <v>3003</v>
      </c>
      <c r="B1334" s="19" t="s">
        <v>3004</v>
      </c>
      <c r="C1334" s="20" t="s">
        <v>3005</v>
      </c>
      <c r="D1334" s="36" t="s">
        <v>28</v>
      </c>
      <c r="E1334" s="37" t="s">
        <v>3290</v>
      </c>
      <c r="F1334" s="43">
        <v>105.78</v>
      </c>
      <c r="G1334" s="100">
        <f t="shared" si="20"/>
        <v>105.78</v>
      </c>
      <c r="H1334" s="101"/>
      <c r="I1334" s="100">
        <f>G1334*H1334</f>
        <v>0</v>
      </c>
      <c r="J1334" s="39" t="s">
        <v>3336</v>
      </c>
      <c r="K1334" s="40" t="s">
        <v>31</v>
      </c>
      <c r="L1334" s="41"/>
      <c r="M1334" s="42" t="str">
        <f>HYPERLINK("https://catalog.onliner.by/christmasdecor/neonnight/nn502375", "https://catalog.onliner.by/christmasdecor/neonnight/nn502375")</f>
        <v>https://catalog.onliner.by/christmasdecor/neonnight/nn502375</v>
      </c>
      <c r="N1334" s="42" t="str">
        <f>HYPERLINK("https://pronto.by/catalog/product/502-375.html", "https://pronto.by/catalog/product/502-375.html")</f>
        <v>https://pronto.by/catalog/product/502-375.html</v>
      </c>
    </row>
    <row r="1335" spans="1:14" customFormat="1" ht="30.6">
      <c r="A1335" s="35" t="s">
        <v>3006</v>
      </c>
      <c r="B1335" s="19" t="s">
        <v>3007</v>
      </c>
      <c r="C1335" s="20" t="s">
        <v>3008</v>
      </c>
      <c r="D1335" s="36" t="s">
        <v>28</v>
      </c>
      <c r="E1335" s="37" t="s">
        <v>3290</v>
      </c>
      <c r="F1335" s="43">
        <v>124.08</v>
      </c>
      <c r="G1335" s="100">
        <f t="shared" si="20"/>
        <v>124.08</v>
      </c>
      <c r="H1335" s="101"/>
      <c r="I1335" s="100">
        <f>G1335*H1335</f>
        <v>0</v>
      </c>
      <c r="J1335" s="39" t="s">
        <v>3336</v>
      </c>
      <c r="K1335" s="40" t="s">
        <v>31</v>
      </c>
      <c r="L1335" s="41"/>
      <c r="M1335" s="42" t="str">
        <f>HYPERLINK("https://catalog.onliner.by/christmasdecor/neonnight/nn502383", "https://catalog.onliner.by/christmasdecor/neonnight/nn502383")</f>
        <v>https://catalog.onliner.by/christmasdecor/neonnight/nn502383</v>
      </c>
      <c r="N1335" s="42" t="str">
        <f>HYPERLINK("https://pronto.by/catalog/product/502-383.html", "https://pronto.by/catalog/product/502-383.html")</f>
        <v>https://pronto.by/catalog/product/502-383.html</v>
      </c>
    </row>
    <row r="1336" spans="1:14" customFormat="1" ht="41.4">
      <c r="A1336" s="35" t="s">
        <v>3009</v>
      </c>
      <c r="B1336" s="19" t="s">
        <v>3010</v>
      </c>
      <c r="C1336" s="20" t="s">
        <v>3011</v>
      </c>
      <c r="D1336" s="36" t="s">
        <v>28</v>
      </c>
      <c r="E1336" s="37" t="s">
        <v>3310</v>
      </c>
      <c r="F1336" s="43">
        <v>32.880000000000003</v>
      </c>
      <c r="G1336" s="100">
        <f t="shared" si="20"/>
        <v>32.880000000000003</v>
      </c>
      <c r="H1336" s="101"/>
      <c r="I1336" s="100">
        <f>G1336*H1336</f>
        <v>0</v>
      </c>
      <c r="J1336" s="39" t="s">
        <v>3336</v>
      </c>
      <c r="K1336" s="40" t="s">
        <v>31</v>
      </c>
      <c r="L1336" s="41"/>
      <c r="M1336" s="44" t="e">
        <f>VLOOKUP(A1336,#REF!,4,0)</f>
        <v>#REF!</v>
      </c>
      <c r="N1336" s="42" t="str">
        <f>HYPERLINK("https://pronto.by/catalog/product/502-388.html", "https://pronto.by/catalog/product/502-388.html")</f>
        <v>https://pronto.by/catalog/product/502-388.html</v>
      </c>
    </row>
    <row r="1337" spans="1:14" customFormat="1" ht="30.6">
      <c r="A1337" s="35" t="s">
        <v>3012</v>
      </c>
      <c r="B1337" s="19" t="s">
        <v>3013</v>
      </c>
      <c r="C1337" s="20" t="s">
        <v>3014</v>
      </c>
      <c r="D1337" s="36" t="s">
        <v>28</v>
      </c>
      <c r="E1337" s="37" t="s">
        <v>3290</v>
      </c>
      <c r="F1337" s="43">
        <v>105.78</v>
      </c>
      <c r="G1337" s="100">
        <f t="shared" si="20"/>
        <v>105.78</v>
      </c>
      <c r="H1337" s="101"/>
      <c r="I1337" s="100">
        <f>G1337*H1337</f>
        <v>0</v>
      </c>
      <c r="J1337" s="39" t="s">
        <v>3336</v>
      </c>
      <c r="K1337" s="40" t="s">
        <v>31</v>
      </c>
      <c r="L1337" s="41"/>
      <c r="M1337" s="42" t="str">
        <f>HYPERLINK("https://catalog.onliner.by/christmasdecor/neonnight/nn502376", "https://catalog.onliner.by/christmasdecor/neonnight/nn502376")</f>
        <v>https://catalog.onliner.by/christmasdecor/neonnight/nn502376</v>
      </c>
      <c r="N1337" s="42" t="str">
        <f>HYPERLINK("https://pronto.by/catalog/product/502-376.html", "https://pronto.by/catalog/product/502-376.html")</f>
        <v>https://pronto.by/catalog/product/502-376.html</v>
      </c>
    </row>
    <row r="1338" spans="1:14" customFormat="1" ht="30.6">
      <c r="A1338" s="35" t="s">
        <v>3015</v>
      </c>
      <c r="B1338" s="19" t="s">
        <v>3016</v>
      </c>
      <c r="C1338" s="20" t="s">
        <v>3017</v>
      </c>
      <c r="D1338" s="36" t="s">
        <v>28</v>
      </c>
      <c r="E1338" s="37" t="s">
        <v>3290</v>
      </c>
      <c r="F1338" s="43">
        <v>117.53999999999999</v>
      </c>
      <c r="G1338" s="100">
        <f t="shared" si="20"/>
        <v>117.54</v>
      </c>
      <c r="H1338" s="101"/>
      <c r="I1338" s="100">
        <f>G1338*H1338</f>
        <v>0</v>
      </c>
      <c r="J1338" s="39" t="s">
        <v>3336</v>
      </c>
      <c r="K1338" s="40" t="s">
        <v>31</v>
      </c>
      <c r="L1338" s="41"/>
      <c r="M1338" s="42" t="str">
        <f>HYPERLINK("https://catalog.onliner.by/christmasdecor/neonnight/nn502378", "https://catalog.onliner.by/christmasdecor/neonnight/nn502378")</f>
        <v>https://catalog.onliner.by/christmasdecor/neonnight/nn502378</v>
      </c>
      <c r="N1338" s="42" t="str">
        <f>HYPERLINK("https://pronto.by/catalog/product/502-378.html", "https://pronto.by/catalog/product/502-378.html")</f>
        <v>https://pronto.by/catalog/product/502-378.html</v>
      </c>
    </row>
    <row r="1339" spans="1:14" customFormat="1" ht="30.6">
      <c r="A1339" s="35" t="s">
        <v>3018</v>
      </c>
      <c r="B1339" s="19" t="s">
        <v>3019</v>
      </c>
      <c r="C1339" s="20" t="s">
        <v>3020</v>
      </c>
      <c r="D1339" s="36" t="s">
        <v>28</v>
      </c>
      <c r="E1339" s="37" t="s">
        <v>3290</v>
      </c>
      <c r="F1339" s="43">
        <v>117.53999999999999</v>
      </c>
      <c r="G1339" s="100">
        <f t="shared" si="20"/>
        <v>117.54</v>
      </c>
      <c r="H1339" s="101"/>
      <c r="I1339" s="100">
        <f>G1339*H1339</f>
        <v>0</v>
      </c>
      <c r="J1339" s="39" t="s">
        <v>3336</v>
      </c>
      <c r="K1339" s="40" t="s">
        <v>31</v>
      </c>
      <c r="L1339" s="41"/>
      <c r="M1339" s="42" t="str">
        <f>HYPERLINK("https://catalog.onliner.by/christmasdecor/neonnight/nn502379", "https://catalog.onliner.by/christmasdecor/neonnight/nn502379")</f>
        <v>https://catalog.onliner.by/christmasdecor/neonnight/nn502379</v>
      </c>
      <c r="N1339" s="42" t="str">
        <f>HYPERLINK("https://pronto.by/catalog/product/502-379.html", "https://pronto.by/catalog/product/502-379.html")</f>
        <v>https://pronto.by/catalog/product/502-379.html</v>
      </c>
    </row>
    <row r="1340" spans="1:14" customFormat="1" ht="30.6">
      <c r="A1340" s="35" t="s">
        <v>3021</v>
      </c>
      <c r="B1340" s="19" t="s">
        <v>3022</v>
      </c>
      <c r="C1340" s="20" t="s">
        <v>3023</v>
      </c>
      <c r="D1340" s="36" t="s">
        <v>28</v>
      </c>
      <c r="E1340" s="37" t="s">
        <v>3290</v>
      </c>
      <c r="F1340" s="43">
        <v>105.78</v>
      </c>
      <c r="G1340" s="100">
        <f t="shared" si="20"/>
        <v>105.78</v>
      </c>
      <c r="H1340" s="101"/>
      <c r="I1340" s="100">
        <f>G1340*H1340</f>
        <v>0</v>
      </c>
      <c r="J1340" s="39" t="s">
        <v>3336</v>
      </c>
      <c r="K1340" s="40" t="s">
        <v>31</v>
      </c>
      <c r="L1340" s="41"/>
      <c r="M1340" s="42" t="str">
        <f>HYPERLINK("https://catalog.onliner.by/christmasdecor/neonnight/nn502374", "https://catalog.onliner.by/christmasdecor/neonnight/nn502374")</f>
        <v>https://catalog.onliner.by/christmasdecor/neonnight/nn502374</v>
      </c>
      <c r="N1340" s="42" t="str">
        <f>HYPERLINK("https://pronto.by/catalog/product/502-374.html", "https://pronto.by/catalog/product/502-374.html")</f>
        <v>https://pronto.by/catalog/product/502-374.html</v>
      </c>
    </row>
    <row r="1341" spans="1:14" customFormat="1" ht="41.4">
      <c r="A1341" s="35" t="s">
        <v>3024</v>
      </c>
      <c r="B1341" s="19" t="s">
        <v>3025</v>
      </c>
      <c r="C1341" s="20" t="s">
        <v>3026</v>
      </c>
      <c r="D1341" s="36" t="s">
        <v>28</v>
      </c>
      <c r="E1341" s="37" t="s">
        <v>3290</v>
      </c>
      <c r="F1341" s="43">
        <v>117.53999999999999</v>
      </c>
      <c r="G1341" s="100">
        <f t="shared" si="20"/>
        <v>117.54</v>
      </c>
      <c r="H1341" s="101"/>
      <c r="I1341" s="100">
        <f>G1341*H1341</f>
        <v>0</v>
      </c>
      <c r="J1341" s="39" t="s">
        <v>3336</v>
      </c>
      <c r="K1341" s="40" t="s">
        <v>31</v>
      </c>
      <c r="L1341" s="41"/>
      <c r="M1341" s="42" t="str">
        <f>HYPERLINK("https://catalog.onliner.by/christmasdecor/neonnight/nn502377", "https://catalog.onliner.by/christmasdecor/neonnight/nn502377")</f>
        <v>https://catalog.onliner.by/christmasdecor/neonnight/nn502377</v>
      </c>
      <c r="N1341" s="42" t="str">
        <f>HYPERLINK("https://pronto.by/catalog/product/502-377.html", "https://pronto.by/catalog/product/502-377.html")</f>
        <v>https://pronto.by/catalog/product/502-377.html</v>
      </c>
    </row>
    <row r="1342" spans="1:14" customFormat="1" ht="30.6">
      <c r="A1342" s="35" t="s">
        <v>3027</v>
      </c>
      <c r="B1342" s="19" t="s">
        <v>3028</v>
      </c>
      <c r="C1342" s="20" t="s">
        <v>3029</v>
      </c>
      <c r="D1342" s="36" t="s">
        <v>28</v>
      </c>
      <c r="E1342" s="37" t="s">
        <v>4235</v>
      </c>
      <c r="F1342" s="43">
        <v>52.62</v>
      </c>
      <c r="G1342" s="100">
        <f t="shared" si="20"/>
        <v>52.62</v>
      </c>
      <c r="H1342" s="101"/>
      <c r="I1342" s="100">
        <f>G1342*H1342</f>
        <v>0</v>
      </c>
      <c r="J1342" s="39" t="s">
        <v>3336</v>
      </c>
      <c r="K1342" s="40" t="s">
        <v>31</v>
      </c>
      <c r="L1342" s="41"/>
      <c r="M1342" s="42" t="str">
        <f>HYPERLINK("https://catalog.onliner.by/christmasdecor/neonnight/nn502321", "https://catalog.onliner.by/christmasdecor/neonnight/nn502321")</f>
        <v>https://catalog.onliner.by/christmasdecor/neonnight/nn502321</v>
      </c>
      <c r="N1342" s="42" t="str">
        <f>HYPERLINK("https://pronto.by/catalog/product/502-321.html", "https://pronto.by/catalog/product/502-321.html")</f>
        <v>https://pronto.by/catalog/product/502-321.html</v>
      </c>
    </row>
    <row r="1343" spans="1:14" customFormat="1" ht="41.4">
      <c r="A1343" s="35" t="s">
        <v>3030</v>
      </c>
      <c r="B1343" s="19" t="s">
        <v>3031</v>
      </c>
      <c r="C1343" s="20" t="s">
        <v>3032</v>
      </c>
      <c r="D1343" s="36" t="s">
        <v>28</v>
      </c>
      <c r="E1343" s="37" t="s">
        <v>4235</v>
      </c>
      <c r="F1343" s="43">
        <v>47.22</v>
      </c>
      <c r="G1343" s="100">
        <f t="shared" si="20"/>
        <v>47.22</v>
      </c>
      <c r="H1343" s="101"/>
      <c r="I1343" s="100">
        <f>G1343*H1343</f>
        <v>0</v>
      </c>
      <c r="J1343" s="39" t="s">
        <v>3336</v>
      </c>
      <c r="K1343" s="40" t="s">
        <v>31</v>
      </c>
      <c r="L1343" s="41"/>
      <c r="M1343" s="42" t="str">
        <f>HYPERLINK("https://catalog.onliner.by/christmasdecor/neonnight/nn502322", "https://catalog.onliner.by/christmasdecor/neonnight/nn502322")</f>
        <v>https://catalog.onliner.by/christmasdecor/neonnight/nn502322</v>
      </c>
      <c r="N1343" s="42" t="str">
        <f>HYPERLINK("https://pronto.by/catalog/product/502-322.html", "https://pronto.by/catalog/product/502-322.html")</f>
        <v>https://pronto.by/catalog/product/502-322.html</v>
      </c>
    </row>
    <row r="1344" spans="1:14" customFormat="1" ht="41.4">
      <c r="A1344" s="35" t="s">
        <v>4236</v>
      </c>
      <c r="B1344" s="19" t="s">
        <v>4237</v>
      </c>
      <c r="C1344" s="20" t="s">
        <v>4238</v>
      </c>
      <c r="D1344" s="36" t="s">
        <v>28</v>
      </c>
      <c r="E1344" s="37" t="s">
        <v>4235</v>
      </c>
      <c r="F1344" s="43">
        <v>59.04</v>
      </c>
      <c r="G1344" s="100">
        <f t="shared" si="20"/>
        <v>59.04</v>
      </c>
      <c r="H1344" s="101"/>
      <c r="I1344" s="100">
        <f>G1344*H1344</f>
        <v>0</v>
      </c>
      <c r="J1344" s="39" t="s">
        <v>3336</v>
      </c>
      <c r="K1344" s="40" t="s">
        <v>31</v>
      </c>
      <c r="L1344" s="41"/>
      <c r="M1344" s="42" t="str">
        <f>HYPERLINK("https://catalog.onliner.by/christmasdecor/neonnight/nn502326", "https://catalog.onliner.by/christmasdecor/neonnight/nn502326")</f>
        <v>https://catalog.onliner.by/christmasdecor/neonnight/nn502326</v>
      </c>
      <c r="N1344" s="42" t="str">
        <f>HYPERLINK("https://pronto.by/catalog/product/502-326.html", "https://pronto.by/catalog/product/502-326.html")</f>
        <v>https://pronto.by/catalog/product/502-326.html</v>
      </c>
    </row>
    <row r="1345" spans="1:14" customFormat="1" ht="30.6">
      <c r="A1345" s="35" t="s">
        <v>3033</v>
      </c>
      <c r="B1345" s="19" t="s">
        <v>3034</v>
      </c>
      <c r="C1345" s="20" t="s">
        <v>3035</v>
      </c>
      <c r="D1345" s="36" t="s">
        <v>28</v>
      </c>
      <c r="E1345" s="37" t="s">
        <v>4235</v>
      </c>
      <c r="F1345" s="43">
        <v>47.22</v>
      </c>
      <c r="G1345" s="100">
        <f t="shared" si="20"/>
        <v>47.22</v>
      </c>
      <c r="H1345" s="101"/>
      <c r="I1345" s="100">
        <f>G1345*H1345</f>
        <v>0</v>
      </c>
      <c r="J1345" s="39" t="s">
        <v>3336</v>
      </c>
      <c r="K1345" s="40" t="s">
        <v>31</v>
      </c>
      <c r="L1345" s="41"/>
      <c r="M1345" s="42" t="str">
        <f>HYPERLINK("https://catalog.onliner.by/christmasdecor/neonnight/nn502323", "https://catalog.onliner.by/christmasdecor/neonnight/nn502323")</f>
        <v>https://catalog.onliner.by/christmasdecor/neonnight/nn502323</v>
      </c>
      <c r="N1345" s="42" t="str">
        <f>HYPERLINK("https://pronto.by/catalog/product/502-323.html", "https://pronto.by/catalog/product/502-323.html")</f>
        <v>https://pronto.by/catalog/product/502-323.html</v>
      </c>
    </row>
    <row r="1346" spans="1:14" customFormat="1" ht="30.6">
      <c r="A1346" s="35" t="s">
        <v>4239</v>
      </c>
      <c r="B1346" s="19" t="s">
        <v>4240</v>
      </c>
      <c r="C1346" s="20" t="s">
        <v>4241</v>
      </c>
      <c r="D1346" s="36" t="s">
        <v>28</v>
      </c>
      <c r="E1346" s="37" t="s">
        <v>4224</v>
      </c>
      <c r="F1346" s="43">
        <v>40.020000000000003</v>
      </c>
      <c r="G1346" s="100">
        <f t="shared" si="20"/>
        <v>40.020000000000003</v>
      </c>
      <c r="H1346" s="101"/>
      <c r="I1346" s="100">
        <f>G1346*H1346</f>
        <v>0</v>
      </c>
      <c r="J1346" s="39" t="s">
        <v>3336</v>
      </c>
      <c r="K1346" s="40" t="s">
        <v>31</v>
      </c>
      <c r="L1346" s="41"/>
      <c r="M1346" s="42" t="str">
        <f>HYPERLINK("https://catalog.onliner.by/christmasdecor/neonnight/nn502233", "https://catalog.onliner.by/christmasdecor/neonnight/nn502233")</f>
        <v>https://catalog.onliner.by/christmasdecor/neonnight/nn502233</v>
      </c>
      <c r="N1346" s="42" t="str">
        <f>HYPERLINK("https://pronto.by/catalog/product/502-233.html", "https://pronto.by/catalog/product/502-233.html")</f>
        <v>https://pronto.by/catalog/product/502-233.html</v>
      </c>
    </row>
    <row r="1347" spans="1:14" customFormat="1" ht="30.6">
      <c r="A1347" s="35" t="s">
        <v>3036</v>
      </c>
      <c r="B1347" s="19" t="s">
        <v>3037</v>
      </c>
      <c r="C1347" s="20" t="s">
        <v>3038</v>
      </c>
      <c r="D1347" s="36" t="s">
        <v>28</v>
      </c>
      <c r="E1347" s="37" t="s">
        <v>3290</v>
      </c>
      <c r="F1347" s="43">
        <v>98.76</v>
      </c>
      <c r="G1347" s="100">
        <f t="shared" si="20"/>
        <v>98.76</v>
      </c>
      <c r="H1347" s="101"/>
      <c r="I1347" s="100">
        <f>G1347*H1347</f>
        <v>0</v>
      </c>
      <c r="J1347" s="39" t="s">
        <v>3336</v>
      </c>
      <c r="K1347" s="40" t="s">
        <v>31</v>
      </c>
      <c r="L1347" s="41"/>
      <c r="M1347" s="42" t="str">
        <f>HYPERLINK("https://catalog.onliner.by/christmasdecor/neonnight/nn502234", "https://catalog.onliner.by/christmasdecor/neonnight/nn502234")</f>
        <v>https://catalog.onliner.by/christmasdecor/neonnight/nn502234</v>
      </c>
      <c r="N1347" s="42" t="str">
        <f>HYPERLINK("https://pronto.by/catalog/product/502-234.html", "https://pronto.by/catalog/product/502-234.html")</f>
        <v>https://pronto.by/catalog/product/502-234.html</v>
      </c>
    </row>
    <row r="1348" spans="1:14" customFormat="1" ht="30.6">
      <c r="A1348" s="35" t="s">
        <v>3039</v>
      </c>
      <c r="B1348" s="19" t="s">
        <v>3040</v>
      </c>
      <c r="C1348" s="20" t="s">
        <v>3041</v>
      </c>
      <c r="D1348" s="36" t="s">
        <v>28</v>
      </c>
      <c r="E1348" s="37" t="s">
        <v>3295</v>
      </c>
      <c r="F1348" s="43">
        <v>302.22000000000003</v>
      </c>
      <c r="G1348" s="100">
        <f t="shared" si="20"/>
        <v>302.22000000000003</v>
      </c>
      <c r="H1348" s="101"/>
      <c r="I1348" s="100">
        <f>G1348*H1348</f>
        <v>0</v>
      </c>
      <c r="J1348" s="39" t="s">
        <v>3336</v>
      </c>
      <c r="K1348" s="40" t="s">
        <v>31</v>
      </c>
      <c r="L1348" s="41"/>
      <c r="M1348" s="42" t="str">
        <f>HYPERLINK("https://catalog.onliner.by/xmaslights/neonnight/nn502394", "https://catalog.onliner.by/xmaslights/neonnight/nn502394")</f>
        <v>https://catalog.onliner.by/xmaslights/neonnight/nn502394</v>
      </c>
      <c r="N1348" s="42" t="str">
        <f>HYPERLINK("https://pronto.by/catalog/product/502-394.html", "https://pronto.by/catalog/product/502-394.html")</f>
        <v>https://pronto.by/catalog/product/502-394.html</v>
      </c>
    </row>
    <row r="1349" spans="1:14" customFormat="1" ht="16.5" customHeight="1">
      <c r="A1349" s="81" t="s">
        <v>4242</v>
      </c>
      <c r="B1349" s="67"/>
      <c r="C1349" s="67"/>
      <c r="D1349" s="32"/>
      <c r="E1349" s="32"/>
      <c r="F1349" s="32"/>
      <c r="G1349" s="52"/>
      <c r="H1349" s="52"/>
      <c r="I1349" s="52"/>
      <c r="J1349" s="32"/>
      <c r="K1349" s="32"/>
      <c r="L1349" s="33"/>
      <c r="M1349" s="33"/>
      <c r="N1349" s="34"/>
    </row>
    <row r="1350" spans="1:14" customFormat="1" ht="69">
      <c r="A1350" s="35" t="s">
        <v>3042</v>
      </c>
      <c r="B1350" s="19" t="s">
        <v>3043</v>
      </c>
      <c r="C1350" s="20" t="s">
        <v>3044</v>
      </c>
      <c r="D1350" s="36" t="s">
        <v>28</v>
      </c>
      <c r="E1350" s="37" t="s">
        <v>3280</v>
      </c>
      <c r="F1350" s="43">
        <v>1982.6399999999999</v>
      </c>
      <c r="G1350" s="100">
        <f t="shared" si="20"/>
        <v>1982.64</v>
      </c>
      <c r="H1350" s="101"/>
      <c r="I1350" s="100">
        <f>G1350*H1350</f>
        <v>0</v>
      </c>
      <c r="J1350" s="39" t="s">
        <v>3336</v>
      </c>
      <c r="K1350" s="40" t="s">
        <v>31</v>
      </c>
      <c r="L1350" s="41"/>
      <c r="M1350" s="42" t="str">
        <f>HYPERLINK("https://catalog.onliner.by/xmaslights/neonnight/nn513305", "https://catalog.onliner.by/xmaslights/neonnight/nn513305")</f>
        <v>https://catalog.onliner.by/xmaslights/neonnight/nn513305</v>
      </c>
      <c r="N1350" s="42" t="str">
        <f>HYPERLINK("https://pronto.by/catalog/product/513-305.html", "https://pronto.by/catalog/product/513-305.html")</f>
        <v>https://pronto.by/catalog/product/513-305.html</v>
      </c>
    </row>
    <row r="1351" spans="1:14" customFormat="1" ht="69">
      <c r="A1351" s="35" t="s">
        <v>3045</v>
      </c>
      <c r="B1351" s="19" t="s">
        <v>3046</v>
      </c>
      <c r="C1351" s="20" t="s">
        <v>3047</v>
      </c>
      <c r="D1351" s="36" t="s">
        <v>28</v>
      </c>
      <c r="E1351" s="37" t="s">
        <v>3280</v>
      </c>
      <c r="F1351" s="43">
        <v>2438.7600000000002</v>
      </c>
      <c r="G1351" s="100">
        <f t="shared" si="20"/>
        <v>2438.7600000000002</v>
      </c>
      <c r="H1351" s="101"/>
      <c r="I1351" s="100">
        <f>G1351*H1351</f>
        <v>0</v>
      </c>
      <c r="J1351" s="39" t="s">
        <v>3336</v>
      </c>
      <c r="K1351" s="40" t="s">
        <v>31</v>
      </c>
      <c r="L1351" s="41"/>
      <c r="M1351" s="42" t="str">
        <f>HYPERLINK("https://catalog.onliner.by/xmaslights/neonnight/nn513106", "https://catalog.onliner.by/xmaslights/neonnight/nn513106")</f>
        <v>https://catalog.onliner.by/xmaslights/neonnight/nn513106</v>
      </c>
      <c r="N1351" s="42" t="str">
        <f>HYPERLINK("https://pronto.by/catalog/product/513-106.html", "https://pronto.by/catalog/product/513-106.html")</f>
        <v>https://pronto.by/catalog/product/513-106.html</v>
      </c>
    </row>
    <row r="1352" spans="1:14" customFormat="1" ht="69">
      <c r="A1352" s="35" t="s">
        <v>4243</v>
      </c>
      <c r="B1352" s="19" t="s">
        <v>4244</v>
      </c>
      <c r="C1352" s="20" t="s">
        <v>4245</v>
      </c>
      <c r="D1352" s="36" t="s">
        <v>28</v>
      </c>
      <c r="E1352" s="37" t="s">
        <v>3280</v>
      </c>
      <c r="F1352" s="43">
        <v>1328.34</v>
      </c>
      <c r="G1352" s="100">
        <f t="shared" si="20"/>
        <v>1328.34</v>
      </c>
      <c r="H1352" s="101"/>
      <c r="I1352" s="100">
        <f>G1352*H1352</f>
        <v>0</v>
      </c>
      <c r="J1352" s="39" t="s">
        <v>3336</v>
      </c>
      <c r="K1352" s="40" t="s">
        <v>31</v>
      </c>
      <c r="L1352" s="41"/>
      <c r="M1352" s="42" t="str">
        <f>HYPERLINK("https://catalog.onliner.by/xmaslights/neonnight/nn513101", "https://catalog.onliner.by/xmaslights/neonnight/nn513101")</f>
        <v>https://catalog.onliner.by/xmaslights/neonnight/nn513101</v>
      </c>
      <c r="N1352" s="42" t="str">
        <f>HYPERLINK("https://pronto.by/catalog/product/513-101.html", "https://pronto.by/catalog/product/513-101.html")</f>
        <v>https://pronto.by/catalog/product/513-101.html</v>
      </c>
    </row>
    <row r="1353" spans="1:14" customFormat="1" ht="55.2">
      <c r="A1353" s="35" t="s">
        <v>4246</v>
      </c>
      <c r="B1353" s="19" t="s">
        <v>4247</v>
      </c>
      <c r="C1353" s="20" t="s">
        <v>4248</v>
      </c>
      <c r="D1353" s="36" t="s">
        <v>28</v>
      </c>
      <c r="E1353" s="37" t="s">
        <v>3280</v>
      </c>
      <c r="F1353" s="43">
        <v>2471.0400000000004</v>
      </c>
      <c r="G1353" s="100">
        <f t="shared" si="20"/>
        <v>2471.04</v>
      </c>
      <c r="H1353" s="101"/>
      <c r="I1353" s="100">
        <f>G1353*H1353</f>
        <v>0</v>
      </c>
      <c r="J1353" s="39" t="s">
        <v>3336</v>
      </c>
      <c r="K1353" s="40" t="s">
        <v>31</v>
      </c>
      <c r="L1353" s="41"/>
      <c r="M1353" s="42" t="str">
        <f>HYPERLINK("https://catalog.onliner.by/xmaslights/neonnight/neon513124", "https://catalog.onliner.by/xmaslights/neonnight/neon513124")</f>
        <v>https://catalog.onliner.by/xmaslights/neonnight/neon513124</v>
      </c>
      <c r="N1353" s="42" t="str">
        <f>HYPERLINK("https://pronto.by/catalog/product/513-124.html", "https://pronto.by/catalog/product/513-124.html")</f>
        <v>https://pronto.by/catalog/product/513-124.html</v>
      </c>
    </row>
    <row r="1354" spans="1:14" customFormat="1" ht="69">
      <c r="A1354" s="35" t="s">
        <v>4249</v>
      </c>
      <c r="B1354" s="19" t="s">
        <v>4250</v>
      </c>
      <c r="C1354" s="20" t="s">
        <v>4251</v>
      </c>
      <c r="D1354" s="36" t="s">
        <v>28</v>
      </c>
      <c r="E1354" s="37" t="s">
        <v>3280</v>
      </c>
      <c r="F1354" s="43">
        <v>1878.8999999999999</v>
      </c>
      <c r="G1354" s="100">
        <f t="shared" si="20"/>
        <v>1878.9</v>
      </c>
      <c r="H1354" s="101"/>
      <c r="I1354" s="100">
        <f>G1354*H1354</f>
        <v>0</v>
      </c>
      <c r="J1354" s="39" t="s">
        <v>3336</v>
      </c>
      <c r="K1354" s="40" t="s">
        <v>31</v>
      </c>
      <c r="L1354" s="41"/>
      <c r="M1354" s="42" t="str">
        <f>HYPERLINK("https://catalog.onliner.by/xmaslights/neonnight/nn513183", "https://catalog.onliner.by/xmaslights/neonnight/nn513183")</f>
        <v>https://catalog.onliner.by/xmaslights/neonnight/nn513183</v>
      </c>
      <c r="N1354" s="42" t="str">
        <f>HYPERLINK("https://pronto.by/catalog/product/513-183.html", "https://pronto.by/catalog/product/513-183.html")</f>
        <v>https://pronto.by/catalog/product/513-183.html</v>
      </c>
    </row>
    <row r="1355" spans="1:14" customFormat="1" ht="55.2">
      <c r="A1355" s="35" t="s">
        <v>4252</v>
      </c>
      <c r="B1355" s="19" t="s">
        <v>4253</v>
      </c>
      <c r="C1355" s="20" t="s">
        <v>4254</v>
      </c>
      <c r="D1355" s="36" t="s">
        <v>28</v>
      </c>
      <c r="E1355" s="37" t="s">
        <v>3280</v>
      </c>
      <c r="F1355" s="43">
        <v>14794.68</v>
      </c>
      <c r="G1355" s="100">
        <f t="shared" si="20"/>
        <v>14794.68</v>
      </c>
      <c r="H1355" s="101"/>
      <c r="I1355" s="100">
        <f>G1355*H1355</f>
        <v>0</v>
      </c>
      <c r="J1355" s="39" t="s">
        <v>3336</v>
      </c>
      <c r="K1355" s="40" t="s">
        <v>31</v>
      </c>
      <c r="L1355" s="41"/>
      <c r="M1355" s="42" t="str">
        <f>HYPERLINK("https://catalog.onliner.by/xmaslights/neonnight/nn513182", "https://catalog.onliner.by/xmaslights/neonnight/nn513182")</f>
        <v>https://catalog.onliner.by/xmaslights/neonnight/nn513182</v>
      </c>
      <c r="N1355" s="42" t="str">
        <f>HYPERLINK("https://pronto.by/catalog/product/513-182.html", "https://pronto.by/catalog/product/513-182.html")</f>
        <v>https://pronto.by/catalog/product/513-182.html</v>
      </c>
    </row>
    <row r="1356" spans="1:14" customFormat="1" ht="69">
      <c r="A1356" s="35" t="s">
        <v>3048</v>
      </c>
      <c r="B1356" s="19" t="s">
        <v>3049</v>
      </c>
      <c r="C1356" s="20" t="s">
        <v>3050</v>
      </c>
      <c r="D1356" s="36" t="s">
        <v>28</v>
      </c>
      <c r="E1356" s="37" t="s">
        <v>3280</v>
      </c>
      <c r="F1356" s="43">
        <v>2519.1600000000003</v>
      </c>
      <c r="G1356" s="100">
        <f t="shared" si="20"/>
        <v>2519.16</v>
      </c>
      <c r="H1356" s="101"/>
      <c r="I1356" s="100">
        <f>G1356*H1356</f>
        <v>0</v>
      </c>
      <c r="J1356" s="39" t="s">
        <v>3336</v>
      </c>
      <c r="K1356" s="40" t="s">
        <v>31</v>
      </c>
      <c r="L1356" s="41"/>
      <c r="M1356" s="42" t="str">
        <f>HYPERLINK("https://catalog.onliner.by/xmaslights/neonnight/nn513271", "https://catalog.onliner.by/xmaslights/neonnight/nn513271")</f>
        <v>https://catalog.onliner.by/xmaslights/neonnight/nn513271</v>
      </c>
      <c r="N1356" s="42" t="str">
        <f>HYPERLINK("https://pronto.by/catalog/product/513-271.html", "https://pronto.by/catalog/product/513-271.html")</f>
        <v>https://pronto.by/catalog/product/513-271.html</v>
      </c>
    </row>
    <row r="1357" spans="1:14" customFormat="1" ht="69">
      <c r="A1357" s="35" t="s">
        <v>4255</v>
      </c>
      <c r="B1357" s="19" t="s">
        <v>4256</v>
      </c>
      <c r="C1357" s="20" t="s">
        <v>4257</v>
      </c>
      <c r="D1357" s="36" t="s">
        <v>28</v>
      </c>
      <c r="E1357" s="37" t="s">
        <v>3280</v>
      </c>
      <c r="F1357" s="43">
        <v>2002.92</v>
      </c>
      <c r="G1357" s="100">
        <f t="shared" si="20"/>
        <v>2002.92</v>
      </c>
      <c r="H1357" s="101"/>
      <c r="I1357" s="100">
        <f>G1357*H1357</f>
        <v>0</v>
      </c>
      <c r="J1357" s="39" t="s">
        <v>3336</v>
      </c>
      <c r="K1357" s="40" t="s">
        <v>31</v>
      </c>
      <c r="L1357" s="41"/>
      <c r="M1357" s="42" t="str">
        <f>HYPERLINK("https://catalog.onliner.by/xmaslights/neonnight/nn513244", "https://catalog.onliner.by/xmaslights/neonnight/nn513244")</f>
        <v>https://catalog.onliner.by/xmaslights/neonnight/nn513244</v>
      </c>
      <c r="N1357" s="42" t="str">
        <f>HYPERLINK("https://pronto.by/catalog/product/513-244.html", "https://pronto.by/catalog/product/513-244.html")</f>
        <v>https://pronto.by/catalog/product/513-244.html</v>
      </c>
    </row>
    <row r="1358" spans="1:14" customFormat="1" ht="69">
      <c r="A1358" s="35" t="s">
        <v>3051</v>
      </c>
      <c r="B1358" s="19" t="s">
        <v>3052</v>
      </c>
      <c r="C1358" s="20" t="s">
        <v>3053</v>
      </c>
      <c r="D1358" s="36" t="s">
        <v>28</v>
      </c>
      <c r="E1358" s="37" t="s">
        <v>3280</v>
      </c>
      <c r="F1358" s="43">
        <v>1749.3600000000001</v>
      </c>
      <c r="G1358" s="100">
        <f t="shared" si="20"/>
        <v>1749.36</v>
      </c>
      <c r="H1358" s="101"/>
      <c r="I1358" s="100">
        <f>G1358*H1358</f>
        <v>0</v>
      </c>
      <c r="J1358" s="39" t="s">
        <v>3336</v>
      </c>
      <c r="K1358" s="40" t="s">
        <v>31</v>
      </c>
      <c r="L1358" s="41"/>
      <c r="M1358" s="42" t="str">
        <f>HYPERLINK("https://catalog.onliner.by/xmaslights/neonnight/nn513307", "https://catalog.onliner.by/xmaslights/neonnight/nn513307")</f>
        <v>https://catalog.onliner.by/xmaslights/neonnight/nn513307</v>
      </c>
      <c r="N1358" s="42" t="str">
        <f>HYPERLINK("https://pronto.by/catalog/prazdnichnaya-svetotehnika/professional-professionalnye-proekty/akrilovye-figury/513-307.html", "https://pronto.by/catalog/prazdnichnaya-svetotehnika/professional-professionalnye-proekty/akrilovye-figury/513-307.html")</f>
        <v>https://pronto.by/catalog/prazdnichnaya-svetotehnika/professional-professionalnye-proekty/akrilovye-figury/513-307.html</v>
      </c>
    </row>
    <row r="1359" spans="1:14" customFormat="1" ht="16.5" customHeight="1">
      <c r="A1359" s="81" t="s">
        <v>4258</v>
      </c>
      <c r="B1359" s="67"/>
      <c r="C1359" s="67"/>
      <c r="D1359" s="32"/>
      <c r="E1359" s="32"/>
      <c r="F1359" s="32"/>
      <c r="G1359" s="52"/>
      <c r="H1359" s="52"/>
      <c r="I1359" s="52"/>
      <c r="J1359" s="32"/>
      <c r="K1359" s="32"/>
      <c r="L1359" s="33"/>
      <c r="M1359" s="33"/>
      <c r="N1359" s="34"/>
    </row>
    <row r="1360" spans="1:14" customFormat="1" ht="19.5" customHeight="1">
      <c r="A1360" s="81" t="s">
        <v>4259</v>
      </c>
      <c r="B1360" s="67"/>
      <c r="C1360" s="67"/>
      <c r="D1360" s="32"/>
      <c r="E1360" s="32"/>
      <c r="F1360" s="32"/>
      <c r="G1360" s="52"/>
      <c r="H1360" s="52"/>
      <c r="I1360" s="52"/>
      <c r="J1360" s="32"/>
      <c r="K1360" s="32"/>
      <c r="L1360" s="33"/>
      <c r="M1360" s="33"/>
      <c r="N1360" s="34"/>
    </row>
    <row r="1361" spans="1:14" customFormat="1" ht="41.4">
      <c r="A1361" s="35" t="s">
        <v>3054</v>
      </c>
      <c r="B1361" s="19" t="s">
        <v>3055</v>
      </c>
      <c r="C1361" s="20" t="s">
        <v>3056</v>
      </c>
      <c r="D1361" s="36" t="s">
        <v>28</v>
      </c>
      <c r="E1361" s="37" t="s">
        <v>3295</v>
      </c>
      <c r="F1361" s="43">
        <v>467.04</v>
      </c>
      <c r="G1361" s="100">
        <f t="shared" ref="G1361:G1422" si="21">ROUND(F1361-F1361*G$3,2)</f>
        <v>467.04</v>
      </c>
      <c r="H1361" s="101"/>
      <c r="I1361" s="100">
        <f>G1361*H1361</f>
        <v>0</v>
      </c>
      <c r="J1361" s="39" t="s">
        <v>3336</v>
      </c>
      <c r="K1361" s="40" t="s">
        <v>31</v>
      </c>
      <c r="L1361" s="41"/>
      <c r="M1361" s="42" t="str">
        <f>HYPERLINK("https://catalog.onliner.by/xmaslights/neonnight/nn501313", "https://catalog.onliner.by/xmaslights/neonnight/nn501313")</f>
        <v>https://catalog.onliner.by/xmaslights/neonnight/nn501313</v>
      </c>
      <c r="N1361" s="42" t="str">
        <f>HYPERLINK("https://pronto.by/catalog/product/501-313.html", "https://pronto.by/catalog/product/501-313.html")</f>
        <v>https://pronto.by/catalog/product/501-313.html</v>
      </c>
    </row>
    <row r="1362" spans="1:14" customFormat="1" ht="41.4">
      <c r="A1362" s="35" t="s">
        <v>3057</v>
      </c>
      <c r="B1362" s="19" t="s">
        <v>3058</v>
      </c>
      <c r="C1362" s="20" t="s">
        <v>3059</v>
      </c>
      <c r="D1362" s="36" t="s">
        <v>28</v>
      </c>
      <c r="E1362" s="37" t="s">
        <v>3279</v>
      </c>
      <c r="F1362" s="43">
        <v>30.42</v>
      </c>
      <c r="G1362" s="100">
        <f t="shared" si="21"/>
        <v>30.42</v>
      </c>
      <c r="H1362" s="101"/>
      <c r="I1362" s="100">
        <f>G1362*H1362</f>
        <v>0</v>
      </c>
      <c r="J1362" s="39" t="s">
        <v>3336</v>
      </c>
      <c r="K1362" s="40" t="s">
        <v>31</v>
      </c>
      <c r="L1362" s="41"/>
      <c r="M1362" s="42" t="str">
        <f>HYPERLINK("https://catalog.onliner.by/xmaslights/neonnight/nn501211", "https://catalog.onliner.by/xmaslights/neonnight/nn501211")</f>
        <v>https://catalog.onliner.by/xmaslights/neonnight/nn501211</v>
      </c>
      <c r="N1362" s="42" t="str">
        <f>HYPERLINK("https://pronto.by/catalog/product/501-211.html", "https://pronto.by/catalog/product/501-211.html")</f>
        <v>https://pronto.by/catalog/product/501-211.html</v>
      </c>
    </row>
    <row r="1363" spans="1:14" customFormat="1" ht="41.4">
      <c r="A1363" s="35" t="s">
        <v>3060</v>
      </c>
      <c r="B1363" s="19" t="s">
        <v>3061</v>
      </c>
      <c r="C1363" s="20" t="s">
        <v>3062</v>
      </c>
      <c r="D1363" s="36" t="s">
        <v>28</v>
      </c>
      <c r="E1363" s="37" t="s">
        <v>3295</v>
      </c>
      <c r="F1363" s="43">
        <v>467.04</v>
      </c>
      <c r="G1363" s="100">
        <f t="shared" si="21"/>
        <v>467.04</v>
      </c>
      <c r="H1363" s="101"/>
      <c r="I1363" s="100">
        <f>G1363*H1363</f>
        <v>0</v>
      </c>
      <c r="J1363" s="39" t="s">
        <v>3336</v>
      </c>
      <c r="K1363" s="40" t="s">
        <v>31</v>
      </c>
      <c r="L1363" s="41"/>
      <c r="M1363" s="42" t="str">
        <f>HYPERLINK("https://catalog.onliner.by/xmaslights/neonnight/nn501333", "https://catalog.onliner.by/xmaslights/neonnight/nn501333")</f>
        <v>https://catalog.onliner.by/xmaslights/neonnight/nn501333</v>
      </c>
      <c r="N1363" s="42" t="str">
        <f>HYPERLINK("https://pronto.by/catalog/product/501-333.html", "https://pronto.by/catalog/product/501-333.html")</f>
        <v>https://pronto.by/catalog/product/501-333.html</v>
      </c>
    </row>
    <row r="1364" spans="1:14" customFormat="1" ht="41.4">
      <c r="A1364" s="35" t="s">
        <v>3063</v>
      </c>
      <c r="B1364" s="19" t="s">
        <v>3064</v>
      </c>
      <c r="C1364" s="20" t="s">
        <v>3065</v>
      </c>
      <c r="D1364" s="36" t="s">
        <v>28</v>
      </c>
      <c r="E1364" s="37" t="s">
        <v>3295</v>
      </c>
      <c r="F1364" s="43">
        <v>467.04</v>
      </c>
      <c r="G1364" s="100">
        <f t="shared" si="21"/>
        <v>467.04</v>
      </c>
      <c r="H1364" s="101"/>
      <c r="I1364" s="100">
        <f>G1364*H1364</f>
        <v>0</v>
      </c>
      <c r="J1364" s="39" t="s">
        <v>3336</v>
      </c>
      <c r="K1364" s="40" t="s">
        <v>31</v>
      </c>
      <c r="L1364" s="41"/>
      <c r="M1364" s="42" t="str">
        <f>HYPERLINK("https://catalog.onliner.by/xmaslights/neonnight/nn501332", "https://catalog.onliner.by/xmaslights/neonnight/nn501332")</f>
        <v>https://catalog.onliner.by/xmaslights/neonnight/nn501332</v>
      </c>
      <c r="N1364" s="42" t="str">
        <f>HYPERLINK("https://pronto.by/catalog/product/501-332.html", "https://pronto.by/catalog/product/501-332.html")</f>
        <v>https://pronto.by/catalog/product/501-332.html</v>
      </c>
    </row>
    <row r="1365" spans="1:14" customFormat="1" ht="41.4">
      <c r="A1365" s="35" t="s">
        <v>3066</v>
      </c>
      <c r="B1365" s="19" t="s">
        <v>3067</v>
      </c>
      <c r="C1365" s="20" t="s">
        <v>3068</v>
      </c>
      <c r="D1365" s="36" t="s">
        <v>28</v>
      </c>
      <c r="E1365" s="37" t="s">
        <v>3265</v>
      </c>
      <c r="F1365" s="43">
        <v>32.64</v>
      </c>
      <c r="G1365" s="100">
        <f t="shared" si="21"/>
        <v>32.64</v>
      </c>
      <c r="H1365" s="101"/>
      <c r="I1365" s="100">
        <f>G1365*H1365</f>
        <v>0</v>
      </c>
      <c r="J1365" s="39" t="s">
        <v>3336</v>
      </c>
      <c r="K1365" s="40" t="s">
        <v>31</v>
      </c>
      <c r="L1365" s="41"/>
      <c r="M1365" s="42" t="str">
        <f>HYPERLINK("https://catalog.onliner.by/xmaslights/neonnight/nn5012111", "https://catalog.onliner.by/xmaslights/neonnight/nn5012111")</f>
        <v>https://catalog.onliner.by/xmaslights/neonnight/nn5012111</v>
      </c>
      <c r="N1365" s="42" t="str">
        <f>HYPERLINK("https://pronto.by/catalog/product/501-211-1.html", "https://pronto.by/catalog/product/501-211-1.html")</f>
        <v>https://pronto.by/catalog/product/501-211-1.html</v>
      </c>
    </row>
    <row r="1366" spans="1:14" customFormat="1" ht="41.4">
      <c r="A1366" s="35" t="s">
        <v>3069</v>
      </c>
      <c r="B1366" s="19" t="s">
        <v>3070</v>
      </c>
      <c r="C1366" s="20" t="s">
        <v>3071</v>
      </c>
      <c r="D1366" s="36" t="s">
        <v>28</v>
      </c>
      <c r="E1366" s="37" t="s">
        <v>3295</v>
      </c>
      <c r="F1366" s="43">
        <v>557.28</v>
      </c>
      <c r="G1366" s="100">
        <f t="shared" si="21"/>
        <v>557.28</v>
      </c>
      <c r="H1366" s="101"/>
      <c r="I1366" s="100">
        <f>G1366*H1366</f>
        <v>0</v>
      </c>
      <c r="J1366" s="39" t="s">
        <v>3336</v>
      </c>
      <c r="K1366" s="40" t="s">
        <v>41</v>
      </c>
      <c r="L1366" s="41"/>
      <c r="M1366" s="42" t="str">
        <f>HYPERLINK("https://catalog.onliner.by/xmaslights/neonnight/nn501531", "https://catalog.onliner.by/xmaslights/neonnight/nn501531")</f>
        <v>https://catalog.onliner.by/xmaslights/neonnight/nn501531</v>
      </c>
      <c r="N1366" s="42" t="str">
        <f>HYPERLINK("https://pronto.by/catalog/product/501-531.html", "https://pronto.by/catalog/product/501-531.html")</f>
        <v>https://pronto.by/catalog/product/501-531.html</v>
      </c>
    </row>
    <row r="1367" spans="1:14" customFormat="1" ht="41.4">
      <c r="A1367" s="35" t="s">
        <v>3072</v>
      </c>
      <c r="B1367" s="19" t="s">
        <v>3073</v>
      </c>
      <c r="C1367" s="20" t="s">
        <v>3074</v>
      </c>
      <c r="D1367" s="36" t="s">
        <v>28</v>
      </c>
      <c r="E1367" s="37" t="s">
        <v>3283</v>
      </c>
      <c r="F1367" s="43">
        <v>232.86</v>
      </c>
      <c r="G1367" s="100">
        <f t="shared" si="21"/>
        <v>232.86</v>
      </c>
      <c r="H1367" s="101"/>
      <c r="I1367" s="100">
        <f>G1367*H1367</f>
        <v>0</v>
      </c>
      <c r="J1367" s="39" t="s">
        <v>3336</v>
      </c>
      <c r="K1367" s="40" t="s">
        <v>31</v>
      </c>
      <c r="L1367" s="41"/>
      <c r="M1367" s="42" t="str">
        <f>HYPERLINK("https://catalog.onliner.by/xmaslights/neonnight/nn501331", "https://catalog.onliner.by/xmaslights/neonnight/nn501331")</f>
        <v>https://catalog.onliner.by/xmaslights/neonnight/nn501331</v>
      </c>
      <c r="N1367" s="42" t="str">
        <f>HYPERLINK("https://pronto.by/catalog/product/501-334.html", "https://pronto.by/catalog/product/501-334.html")</f>
        <v>https://pronto.by/catalog/product/501-334.html</v>
      </c>
    </row>
    <row r="1368" spans="1:14" customFormat="1" ht="41.4">
      <c r="A1368" s="35" t="s">
        <v>3075</v>
      </c>
      <c r="B1368" s="19" t="s">
        <v>3076</v>
      </c>
      <c r="C1368" s="20" t="s">
        <v>3077</v>
      </c>
      <c r="D1368" s="36" t="s">
        <v>28</v>
      </c>
      <c r="E1368" s="37" t="s">
        <v>3283</v>
      </c>
      <c r="F1368" s="43">
        <v>249.36</v>
      </c>
      <c r="G1368" s="100">
        <f t="shared" si="21"/>
        <v>249.36</v>
      </c>
      <c r="H1368" s="101"/>
      <c r="I1368" s="100">
        <f>G1368*H1368</f>
        <v>0</v>
      </c>
      <c r="J1368" s="39" t="s">
        <v>3336</v>
      </c>
      <c r="K1368" s="40" t="s">
        <v>4260</v>
      </c>
      <c r="L1368" s="41"/>
      <c r="M1368" s="42" t="str">
        <f>HYPERLINK("https://catalog.onliner.by/xmaslights/neonnight/nn501337", "https://catalog.onliner.by/xmaslights/neonnight/nn501337")</f>
        <v>https://catalog.onliner.by/xmaslights/neonnight/nn501337</v>
      </c>
      <c r="N1368" s="42" t="str">
        <f>HYPERLINK("https://pronto.by/catalog/product/501-337.html", "https://pronto.by/catalog/product/501-337.html")</f>
        <v>https://pronto.by/catalog/product/501-337.html</v>
      </c>
    </row>
    <row r="1369" spans="1:14" customFormat="1" ht="41.4">
      <c r="A1369" s="35" t="s">
        <v>3078</v>
      </c>
      <c r="B1369" s="19" t="s">
        <v>3079</v>
      </c>
      <c r="C1369" s="20" t="s">
        <v>3080</v>
      </c>
      <c r="D1369" s="36" t="s">
        <v>28</v>
      </c>
      <c r="E1369" s="37" t="s">
        <v>3295</v>
      </c>
      <c r="F1369" s="43">
        <v>557.28</v>
      </c>
      <c r="G1369" s="100">
        <f t="shared" si="21"/>
        <v>557.28</v>
      </c>
      <c r="H1369" s="101"/>
      <c r="I1369" s="100">
        <f>G1369*H1369</f>
        <v>0</v>
      </c>
      <c r="J1369" s="39" t="s">
        <v>3336</v>
      </c>
      <c r="K1369" s="40" t="s">
        <v>4260</v>
      </c>
      <c r="L1369" s="41"/>
      <c r="M1369" s="42" t="str">
        <f>HYPERLINK("https://catalog.onliner.by/xmaslights/neonnight/nn501338", "https://catalog.onliner.by/xmaslights/neonnight/nn501338")</f>
        <v>https://catalog.onliner.by/xmaslights/neonnight/nn501338</v>
      </c>
      <c r="N1369" s="42" t="str">
        <f>HYPERLINK("https://pronto.by/catalog/product/501-338.html", "https://pronto.by/catalog/product/501-338.html")</f>
        <v>https://pronto.by/catalog/product/501-338.html</v>
      </c>
    </row>
    <row r="1370" spans="1:14" customFormat="1" ht="55.2">
      <c r="A1370" s="35" t="s">
        <v>3081</v>
      </c>
      <c r="B1370" s="19" t="s">
        <v>3082</v>
      </c>
      <c r="C1370" s="20" t="s">
        <v>3083</v>
      </c>
      <c r="D1370" s="36" t="s">
        <v>28</v>
      </c>
      <c r="E1370" s="37" t="s">
        <v>3283</v>
      </c>
      <c r="F1370" s="43">
        <v>232.86</v>
      </c>
      <c r="G1370" s="100">
        <f t="shared" si="21"/>
        <v>232.86</v>
      </c>
      <c r="H1370" s="101"/>
      <c r="I1370" s="100">
        <f>G1370*H1370</f>
        <v>0</v>
      </c>
      <c r="J1370" s="39" t="s">
        <v>3336</v>
      </c>
      <c r="K1370" s="40" t="s">
        <v>4260</v>
      </c>
      <c r="L1370" s="41"/>
      <c r="M1370" s="42" t="str">
        <f>HYPERLINK("https://catalog.onliner.by/xmaslights/neonnight/nn501335", "https://catalog.onliner.by/xmaslights/neonnight/nn501335")</f>
        <v>https://catalog.onliner.by/xmaslights/neonnight/nn501335</v>
      </c>
      <c r="N1370" s="42" t="str">
        <f>HYPERLINK("https://pronto.by/catalog/product/501-335.html", "https://pronto.by/catalog/product/501-335.html")</f>
        <v>https://pronto.by/catalog/product/501-335.html</v>
      </c>
    </row>
    <row r="1371" spans="1:14" customFormat="1" ht="71.400000000000006">
      <c r="A1371" s="35" t="s">
        <v>3084</v>
      </c>
      <c r="B1371" s="19" t="s">
        <v>3085</v>
      </c>
      <c r="C1371" s="20" t="s">
        <v>3086</v>
      </c>
      <c r="D1371" s="36" t="s">
        <v>28</v>
      </c>
      <c r="E1371" s="37" t="s">
        <v>3283</v>
      </c>
      <c r="F1371" s="43">
        <v>334.38000000000005</v>
      </c>
      <c r="G1371" s="100">
        <f t="shared" si="21"/>
        <v>334.38</v>
      </c>
      <c r="H1371" s="101"/>
      <c r="I1371" s="100">
        <f>G1371*H1371</f>
        <v>0</v>
      </c>
      <c r="J1371" s="39" t="s">
        <v>3336</v>
      </c>
      <c r="K1371" s="40" t="s">
        <v>31</v>
      </c>
      <c r="L1371" s="41"/>
      <c r="M1371" s="42" t="str">
        <f>HYPERLINK("https://catalog.onliner.by/xmaslights/neonnight/501343", "https://catalog.onliner.by/xmaslights/neonnight/501343")</f>
        <v>https://catalog.onliner.by/xmaslights/neonnight/501343</v>
      </c>
      <c r="N1371" s="42" t="str">
        <f>HYPERLINK("https://pronto.by/catalog/prazdnichnaya-svetotehnika/professional-professionalnye-proekty/karkasnaya-illyuminatsiya/snezhinki-i-zvezdy/501-343.html", "https://pronto.by/catalog/prazdnichnaya-svetotehnika/professional-professionalnye-proekty/karkasnaya-illyuminatsiya/snezhinki-i-zvezdy/501-343.html")</f>
        <v>https://pronto.by/catalog/prazdnichnaya-svetotehnika/professional-professionalnye-proekty/karkasnaya-illyuminatsiya/snezhinki-i-zvezdy/501-343.html</v>
      </c>
    </row>
    <row r="1372" spans="1:14" customFormat="1" ht="55.2">
      <c r="A1372" s="35" t="s">
        <v>3087</v>
      </c>
      <c r="B1372" s="19" t="s">
        <v>3088</v>
      </c>
      <c r="C1372" s="20" t="s">
        <v>3089</v>
      </c>
      <c r="D1372" s="36" t="s">
        <v>28</v>
      </c>
      <c r="E1372" s="37" t="s">
        <v>3283</v>
      </c>
      <c r="F1372" s="43">
        <v>371.52000000000004</v>
      </c>
      <c r="G1372" s="100">
        <f t="shared" si="21"/>
        <v>371.52</v>
      </c>
      <c r="H1372" s="101"/>
      <c r="I1372" s="100">
        <f>G1372*H1372</f>
        <v>0</v>
      </c>
      <c r="J1372" s="39" t="s">
        <v>3336</v>
      </c>
      <c r="K1372" s="40" t="s">
        <v>31</v>
      </c>
      <c r="L1372" s="41"/>
      <c r="M1372" s="42" t="str">
        <f>HYPERLINK("https://catalog.onliner.by/xmaslights/neonnight/nn501225", "https://catalog.onliner.by/xmaslights/neonnight/nn501225")</f>
        <v>https://catalog.onliner.by/xmaslights/neonnight/nn501225</v>
      </c>
      <c r="N1372" s="42" t="str">
        <f>HYPERLINK("https://pronto.by/catalog/product/501-225.html", "https://pronto.by/catalog/product/501-225.html")</f>
        <v>https://pronto.by/catalog/product/501-225.html</v>
      </c>
    </row>
    <row r="1373" spans="1:14" customFormat="1" ht="69">
      <c r="A1373" s="35" t="s">
        <v>3090</v>
      </c>
      <c r="B1373" s="19" t="s">
        <v>3091</v>
      </c>
      <c r="C1373" s="20" t="s">
        <v>3092</v>
      </c>
      <c r="D1373" s="36" t="s">
        <v>28</v>
      </c>
      <c r="E1373" s="37" t="s">
        <v>3283</v>
      </c>
      <c r="F1373" s="43">
        <v>371.52000000000004</v>
      </c>
      <c r="G1373" s="100">
        <f t="shared" si="21"/>
        <v>371.52</v>
      </c>
      <c r="H1373" s="101"/>
      <c r="I1373" s="100">
        <f>G1373*H1373</f>
        <v>0</v>
      </c>
      <c r="J1373" s="39" t="s">
        <v>3336</v>
      </c>
      <c r="K1373" s="40" t="s">
        <v>4260</v>
      </c>
      <c r="L1373" s="41"/>
      <c r="M1373" s="42" t="str">
        <f>HYPERLINK("https://catalog.onliner.by/xmaslights/neonnight/501223", "https://catalog.onliner.by/xmaslights/neonnight/501223")</f>
        <v>https://catalog.onliner.by/xmaslights/neonnight/501223</v>
      </c>
      <c r="N1373" s="42" t="str">
        <f>HYPERLINK("https://pronto.by/catalog/product/501-223.html", "https://pronto.by/catalog/product/501-223.html")</f>
        <v>https://pronto.by/catalog/product/501-223.html</v>
      </c>
    </row>
    <row r="1374" spans="1:14" customFormat="1" ht="69">
      <c r="A1374" s="35" t="s">
        <v>3093</v>
      </c>
      <c r="B1374" s="19" t="s">
        <v>3094</v>
      </c>
      <c r="C1374" s="20" t="s">
        <v>3095</v>
      </c>
      <c r="D1374" s="36" t="s">
        <v>28</v>
      </c>
      <c r="E1374" s="37" t="s">
        <v>3283</v>
      </c>
      <c r="F1374" s="43">
        <v>371.52000000000004</v>
      </c>
      <c r="G1374" s="100">
        <f t="shared" si="21"/>
        <v>371.52</v>
      </c>
      <c r="H1374" s="101"/>
      <c r="I1374" s="100">
        <f>G1374*H1374</f>
        <v>0</v>
      </c>
      <c r="J1374" s="39" t="s">
        <v>3336</v>
      </c>
      <c r="K1374" s="40" t="s">
        <v>31</v>
      </c>
      <c r="L1374" s="41"/>
      <c r="M1374" s="42" t="str">
        <f>HYPERLINK("https://catalog.onliner.by/xmaslights/neonnight/nn501226", "https://catalog.onliner.by/xmaslights/neonnight/nn501226")</f>
        <v>https://catalog.onliner.by/xmaslights/neonnight/nn501226</v>
      </c>
      <c r="N1374" s="42" t="str">
        <f>HYPERLINK("https://pronto.by/catalog/product/501-226.html", "https://pronto.by/catalog/product/501-226.html")</f>
        <v>https://pronto.by/catalog/product/501-226.html</v>
      </c>
    </row>
    <row r="1375" spans="1:14" customFormat="1" ht="41.4">
      <c r="A1375" s="35" t="s">
        <v>3096</v>
      </c>
      <c r="B1375" s="19" t="s">
        <v>3097</v>
      </c>
      <c r="C1375" s="20" t="s">
        <v>3098</v>
      </c>
      <c r="D1375" s="36" t="s">
        <v>28</v>
      </c>
      <c r="E1375" s="37" t="s">
        <v>3283</v>
      </c>
      <c r="F1375" s="43">
        <v>334.38000000000005</v>
      </c>
      <c r="G1375" s="100">
        <f t="shared" si="21"/>
        <v>334.38</v>
      </c>
      <c r="H1375" s="101"/>
      <c r="I1375" s="100">
        <f>G1375*H1375</f>
        <v>0</v>
      </c>
      <c r="J1375" s="39" t="s">
        <v>3336</v>
      </c>
      <c r="K1375" s="40" t="s">
        <v>31</v>
      </c>
      <c r="L1375" s="41"/>
      <c r="M1375" s="42" t="str">
        <f>HYPERLINK("https://catalog.onliner.by/xmaslights/neonnight/nn501325", "https://catalog.onliner.by/xmaslights/neonnight/nn501325")</f>
        <v>https://catalog.onliner.by/xmaslights/neonnight/nn501325</v>
      </c>
      <c r="N1375" s="42" t="str">
        <f>HYPERLINK("https://pronto.by/catalog/product/501-325.html", "https://pronto.by/catalog/product/501-325.html")</f>
        <v>https://pronto.by/catalog/product/501-325.html</v>
      </c>
    </row>
    <row r="1376" spans="1:14" customFormat="1" ht="41.4">
      <c r="A1376" s="35" t="s">
        <v>3099</v>
      </c>
      <c r="B1376" s="19" t="s">
        <v>3100</v>
      </c>
      <c r="C1376" s="20" t="s">
        <v>3101</v>
      </c>
      <c r="D1376" s="36" t="s">
        <v>28</v>
      </c>
      <c r="E1376" s="37" t="s">
        <v>3283</v>
      </c>
      <c r="F1376" s="43">
        <v>334.38000000000005</v>
      </c>
      <c r="G1376" s="100">
        <f t="shared" si="21"/>
        <v>334.38</v>
      </c>
      <c r="H1376" s="101"/>
      <c r="I1376" s="100">
        <f>G1376*H1376</f>
        <v>0</v>
      </c>
      <c r="J1376" s="39" t="s">
        <v>3336</v>
      </c>
      <c r="K1376" s="40" t="s">
        <v>31</v>
      </c>
      <c r="L1376" s="41"/>
      <c r="M1376" s="42" t="str">
        <f>HYPERLINK("https://catalog.onliner.by/xmaslights/neonnight/501326", "https://catalog.onliner.by/xmaslights/neonnight/501326")</f>
        <v>https://catalog.onliner.by/xmaslights/neonnight/501326</v>
      </c>
      <c r="N1376" s="42" t="str">
        <f>HYPERLINK("https://pronto.by/catalog/product/501-326.html", "https://pronto.by/catalog/product/501-326.html")</f>
        <v>https://pronto.by/catalog/product/501-326.html</v>
      </c>
    </row>
    <row r="1377" spans="1:14" customFormat="1" ht="41.4">
      <c r="A1377" s="35" t="s">
        <v>4261</v>
      </c>
      <c r="B1377" s="19" t="s">
        <v>4262</v>
      </c>
      <c r="C1377" s="20" t="s">
        <v>4263</v>
      </c>
      <c r="D1377" s="36" t="s">
        <v>28</v>
      </c>
      <c r="E1377" s="37" t="s">
        <v>3295</v>
      </c>
      <c r="F1377" s="43">
        <v>542.1</v>
      </c>
      <c r="G1377" s="100">
        <f t="shared" si="21"/>
        <v>542.1</v>
      </c>
      <c r="H1377" s="101"/>
      <c r="I1377" s="100">
        <f>G1377*H1377</f>
        <v>0</v>
      </c>
      <c r="J1377" s="39" t="s">
        <v>3336</v>
      </c>
      <c r="K1377" s="40" t="s">
        <v>31</v>
      </c>
      <c r="L1377" s="41"/>
      <c r="M1377" s="42" t="str">
        <f>HYPERLINK("https://catalog.onliner.by/xmaslights/neonnight/nn501339", "https://catalog.onliner.by/xmaslights/neonnight/nn501339")</f>
        <v>https://catalog.onliner.by/xmaslights/neonnight/nn501339</v>
      </c>
      <c r="N1377" s="42" t="str">
        <f>HYPERLINK("https://pronto.by/catalog/product/501-339.html", "https://pronto.by/catalog/product/501-339.html")</f>
        <v>https://pronto.by/catalog/product/501-339.html</v>
      </c>
    </row>
    <row r="1378" spans="1:14" customFormat="1" ht="41.4">
      <c r="A1378" s="35" t="s">
        <v>3102</v>
      </c>
      <c r="B1378" s="19" t="s">
        <v>3103</v>
      </c>
      <c r="C1378" s="20" t="s">
        <v>3104</v>
      </c>
      <c r="D1378" s="36" t="s">
        <v>28</v>
      </c>
      <c r="E1378" s="37" t="s">
        <v>3283</v>
      </c>
      <c r="F1378" s="43">
        <v>218.7</v>
      </c>
      <c r="G1378" s="100">
        <f t="shared" si="21"/>
        <v>218.7</v>
      </c>
      <c r="H1378" s="101"/>
      <c r="I1378" s="100">
        <f>G1378*H1378</f>
        <v>0</v>
      </c>
      <c r="J1378" s="39" t="s">
        <v>3336</v>
      </c>
      <c r="K1378" s="40" t="s">
        <v>4260</v>
      </c>
      <c r="L1378" s="41"/>
      <c r="M1378" s="42" t="str">
        <f>HYPERLINK("https://catalog.onliner.by/xmaslights/neonnight/nn501324", "https://catalog.onliner.by/xmaslights/neonnight/nn501324")</f>
        <v>https://catalog.onliner.by/xmaslights/neonnight/nn501324</v>
      </c>
      <c r="N1378" s="42" t="str">
        <f>HYPERLINK("https://pronto.by/catalog/product/501-324.html", "https://pronto.by/catalog/product/501-324.html")</f>
        <v>https://pronto.by/catalog/product/501-324.html</v>
      </c>
    </row>
    <row r="1379" spans="1:14" customFormat="1" ht="71.400000000000006">
      <c r="A1379" s="35" t="s">
        <v>3105</v>
      </c>
      <c r="B1379" s="19" t="s">
        <v>3106</v>
      </c>
      <c r="C1379" s="20" t="s">
        <v>3107</v>
      </c>
      <c r="D1379" s="36" t="s">
        <v>28</v>
      </c>
      <c r="E1379" s="37" t="s">
        <v>3283</v>
      </c>
      <c r="F1379" s="43">
        <v>175.08</v>
      </c>
      <c r="G1379" s="100">
        <f t="shared" si="21"/>
        <v>175.08</v>
      </c>
      <c r="H1379" s="101"/>
      <c r="I1379" s="100">
        <f>G1379*H1379</f>
        <v>0</v>
      </c>
      <c r="J1379" s="39" t="s">
        <v>3336</v>
      </c>
      <c r="K1379" s="40" t="s">
        <v>31</v>
      </c>
      <c r="L1379" s="41"/>
      <c r="M1379" s="42" t="str">
        <f>HYPERLINK("https://catalog.onliner.by/xmaslights/neonnight/501363", "https://catalog.onliner.by/xmaslights/neonnight/501363")</f>
        <v>https://catalog.onliner.by/xmaslights/neonnight/501363</v>
      </c>
      <c r="N1379" s="42" t="str">
        <f>HYPERLINK("https://pronto.by/catalog/prazdnichnaya-svetotehnika/professional-professionalnye-proekty/karkasnaya-illyuminatsiya/snezhinki-i-zvezdy/501-363.html", "https://pronto.by/catalog/prazdnichnaya-svetotehnika/professional-professionalnye-proekty/karkasnaya-illyuminatsiya/snezhinki-i-zvezdy/501-363.html")</f>
        <v>https://pronto.by/catalog/prazdnichnaya-svetotehnika/professional-professionalnye-proekty/karkasnaya-illyuminatsiya/snezhinki-i-zvezdy/501-363.html</v>
      </c>
    </row>
    <row r="1380" spans="1:14" customFormat="1" ht="30.6">
      <c r="A1380" s="35" t="s">
        <v>3108</v>
      </c>
      <c r="B1380" s="19" t="s">
        <v>3109</v>
      </c>
      <c r="C1380" s="20" t="s">
        <v>3110</v>
      </c>
      <c r="D1380" s="36" t="s">
        <v>28</v>
      </c>
      <c r="E1380" s="37" t="s">
        <v>3283</v>
      </c>
      <c r="F1380" s="43">
        <v>175.08</v>
      </c>
      <c r="G1380" s="100">
        <f t="shared" si="21"/>
        <v>175.08</v>
      </c>
      <c r="H1380" s="101"/>
      <c r="I1380" s="100">
        <f>G1380*H1380</f>
        <v>0</v>
      </c>
      <c r="J1380" s="39" t="s">
        <v>3336</v>
      </c>
      <c r="K1380" s="40" t="s">
        <v>4260</v>
      </c>
      <c r="L1380" s="41"/>
      <c r="M1380" s="42" t="str">
        <f>HYPERLINK("https://catalog.onliner.by/xmaslights/neonnight/nn5012121", "https://catalog.onliner.by/xmaslights/neonnight/nn5012121")</f>
        <v>https://catalog.onliner.by/xmaslights/neonnight/nn5012121</v>
      </c>
      <c r="N1380" s="42" t="str">
        <f>HYPERLINK("https://pronto.by/catalog/product/501-212-1.html", "https://pronto.by/catalog/product/501-212-1.html")</f>
        <v>https://pronto.by/catalog/product/501-212-1.html</v>
      </c>
    </row>
    <row r="1381" spans="1:14" customFormat="1" ht="41.4">
      <c r="A1381" s="35" t="s">
        <v>3111</v>
      </c>
      <c r="B1381" s="19" t="s">
        <v>3112</v>
      </c>
      <c r="C1381" s="20" t="s">
        <v>3113</v>
      </c>
      <c r="D1381" s="36" t="s">
        <v>28</v>
      </c>
      <c r="E1381" s="37" t="s">
        <v>3283</v>
      </c>
      <c r="F1381" s="43">
        <v>175.08</v>
      </c>
      <c r="G1381" s="100">
        <f t="shared" si="21"/>
        <v>175.08</v>
      </c>
      <c r="H1381" s="101"/>
      <c r="I1381" s="100">
        <f>G1381*H1381</f>
        <v>0</v>
      </c>
      <c r="J1381" s="39" t="s">
        <v>3336</v>
      </c>
      <c r="K1381" s="40" t="s">
        <v>31</v>
      </c>
      <c r="L1381" s="41"/>
      <c r="M1381" s="42" t="str">
        <f>HYPERLINK("https://catalog.onliner.by/xmaslights/neonnight/nn501212", "https://catalog.onliner.by/xmaslights/neonnight/nn501212")</f>
        <v>https://catalog.onliner.by/xmaslights/neonnight/nn501212</v>
      </c>
      <c r="N1381" s="42" t="str">
        <f>HYPERLINK("https://pronto.by/catalog/product/501-212.html", "https://pronto.by/catalog/product/501-212.html")</f>
        <v>https://pronto.by/catalog/product/501-212.html</v>
      </c>
    </row>
    <row r="1382" spans="1:14" customFormat="1" ht="18.75" customHeight="1">
      <c r="A1382" s="81" t="s">
        <v>4264</v>
      </c>
      <c r="B1382" s="67"/>
      <c r="C1382" s="67"/>
      <c r="D1382" s="32"/>
      <c r="E1382" s="32"/>
      <c r="F1382" s="32"/>
      <c r="G1382" s="52"/>
      <c r="H1382" s="52"/>
      <c r="I1382" s="52"/>
      <c r="J1382" s="32"/>
      <c r="K1382" s="32"/>
      <c r="L1382" s="33"/>
      <c r="M1382" s="33"/>
      <c r="N1382" s="34"/>
    </row>
    <row r="1383" spans="1:14" customFormat="1" ht="41.4">
      <c r="A1383" s="35" t="s">
        <v>3114</v>
      </c>
      <c r="B1383" s="19" t="s">
        <v>3115</v>
      </c>
      <c r="C1383" s="20" t="s">
        <v>3116</v>
      </c>
      <c r="D1383" s="36" t="s">
        <v>28</v>
      </c>
      <c r="E1383" s="37" t="s">
        <v>3295</v>
      </c>
      <c r="F1383" s="43">
        <v>1295.5800000000002</v>
      </c>
      <c r="G1383" s="100">
        <f t="shared" si="21"/>
        <v>1295.58</v>
      </c>
      <c r="H1383" s="101"/>
      <c r="I1383" s="100">
        <f>G1383*H1383</f>
        <v>0</v>
      </c>
      <c r="J1383" s="39" t="s">
        <v>3336</v>
      </c>
      <c r="K1383" s="40" t="s">
        <v>31</v>
      </c>
      <c r="L1383" s="41"/>
      <c r="M1383" s="42" t="str">
        <f>HYPERLINK("https://catalog.onliner.by/xmaslights/neonnight/nn501113", "https://catalog.onliner.by/xmaslights/neonnight/nn501113")</f>
        <v>https://catalog.onliner.by/xmaslights/neonnight/nn501113</v>
      </c>
      <c r="N1383" s="42" t="str">
        <f>HYPERLINK("https://pronto.by/catalog/product/501-113.html", "https://pronto.by/catalog/product/501-113.html")</f>
        <v>https://pronto.by/catalog/product/501-113.html</v>
      </c>
    </row>
    <row r="1384" spans="1:14" customFormat="1" ht="30.6">
      <c r="A1384" s="35" t="s">
        <v>3117</v>
      </c>
      <c r="B1384" s="19" t="s">
        <v>3118</v>
      </c>
      <c r="C1384" s="20" t="s">
        <v>3119</v>
      </c>
      <c r="D1384" s="36" t="s">
        <v>28</v>
      </c>
      <c r="E1384" s="37" t="s">
        <v>3295</v>
      </c>
      <c r="F1384" s="43">
        <v>398.58000000000004</v>
      </c>
      <c r="G1384" s="100">
        <f t="shared" si="21"/>
        <v>398.58</v>
      </c>
      <c r="H1384" s="101"/>
      <c r="I1384" s="100">
        <f>G1384*H1384</f>
        <v>0</v>
      </c>
      <c r="J1384" s="39" t="s">
        <v>3336</v>
      </c>
      <c r="K1384" s="40" t="s">
        <v>31</v>
      </c>
      <c r="L1384" s="41"/>
      <c r="M1384" s="42" t="str">
        <f>HYPERLINK("https://catalog.onliner.by/xmaslights/neonnight/nn501352", "https://catalog.onliner.by/xmaslights/neonnight/nn501352")</f>
        <v>https://catalog.onliner.by/xmaslights/neonnight/nn501352</v>
      </c>
      <c r="N1384" s="42" t="str">
        <f>HYPERLINK("https://pronto.by/catalog/product/501-352.html", "https://pronto.by/catalog/product/501-352.html")</f>
        <v>https://pronto.by/catalog/product/501-352.html</v>
      </c>
    </row>
    <row r="1385" spans="1:14" customFormat="1" ht="41.4">
      <c r="A1385" s="35" t="s">
        <v>4265</v>
      </c>
      <c r="B1385" s="19" t="s">
        <v>4266</v>
      </c>
      <c r="C1385" s="20" t="s">
        <v>4267</v>
      </c>
      <c r="D1385" s="36" t="s">
        <v>28</v>
      </c>
      <c r="E1385" s="37" t="s">
        <v>3295</v>
      </c>
      <c r="F1385" s="43">
        <v>926.76</v>
      </c>
      <c r="G1385" s="100">
        <f t="shared" si="21"/>
        <v>926.76</v>
      </c>
      <c r="H1385" s="101"/>
      <c r="I1385" s="100">
        <f>G1385*H1385</f>
        <v>0</v>
      </c>
      <c r="J1385" s="39" t="s">
        <v>3336</v>
      </c>
      <c r="K1385" s="40" t="s">
        <v>31</v>
      </c>
      <c r="L1385" s="41"/>
      <c r="M1385" s="42" t="str">
        <f>HYPERLINK("https://catalog.onliner.by/xmaslights/neonnight/nn501336", "https://catalog.onliner.by/xmaslights/neonnight/nn501336")</f>
        <v>https://catalog.onliner.by/xmaslights/neonnight/nn501336</v>
      </c>
      <c r="N1385" s="42" t="str">
        <f>HYPERLINK("https://pronto.by/catalog/product/501-336.html", "https://pronto.by/catalog/product/501-336.html")</f>
        <v>https://pronto.by/catalog/product/501-336.html</v>
      </c>
    </row>
    <row r="1386" spans="1:14" customFormat="1" ht="55.2">
      <c r="A1386" s="35" t="s">
        <v>4268</v>
      </c>
      <c r="B1386" s="19" t="s">
        <v>4269</v>
      </c>
      <c r="C1386" s="20" t="s">
        <v>4270</v>
      </c>
      <c r="D1386" s="36" t="s">
        <v>28</v>
      </c>
      <c r="E1386" s="37" t="s">
        <v>3295</v>
      </c>
      <c r="F1386" s="43">
        <v>860.16000000000008</v>
      </c>
      <c r="G1386" s="100">
        <f t="shared" si="21"/>
        <v>860.16</v>
      </c>
      <c r="H1386" s="101"/>
      <c r="I1386" s="100">
        <f>G1386*H1386</f>
        <v>0</v>
      </c>
      <c r="J1386" s="39" t="s">
        <v>3336</v>
      </c>
      <c r="K1386" s="40" t="s">
        <v>31</v>
      </c>
      <c r="L1386" s="41"/>
      <c r="M1386" s="42" t="str">
        <f>HYPERLINK("https://catalog.onliner.by/xmaslights/neonnight/nnn501312", "https://catalog.onliner.by/xmaslights/neonnight/nnn501312")</f>
        <v>https://catalog.onliner.by/xmaslights/neonnight/nnn501312</v>
      </c>
      <c r="N1386" s="42" t="str">
        <f>HYPERLINK("https://pronto.by/catalog/product/501-312.html", "https://pronto.by/catalog/product/501-312.html")</f>
        <v>https://pronto.by/catalog/product/501-312.html</v>
      </c>
    </row>
    <row r="1387" spans="1:14" customFormat="1" ht="55.2">
      <c r="A1387" s="35" t="s">
        <v>3120</v>
      </c>
      <c r="B1387" s="19" t="s">
        <v>3121</v>
      </c>
      <c r="C1387" s="20" t="s">
        <v>3122</v>
      </c>
      <c r="D1387" s="36" t="s">
        <v>28</v>
      </c>
      <c r="E1387" s="37" t="s">
        <v>3295</v>
      </c>
      <c r="F1387" s="43">
        <v>1176.78</v>
      </c>
      <c r="G1387" s="100">
        <f t="shared" si="21"/>
        <v>1176.78</v>
      </c>
      <c r="H1387" s="101"/>
      <c r="I1387" s="100">
        <f>G1387*H1387</f>
        <v>0</v>
      </c>
      <c r="J1387" s="39" t="s">
        <v>3336</v>
      </c>
      <c r="K1387" s="40" t="s">
        <v>31</v>
      </c>
      <c r="L1387" s="41"/>
      <c r="M1387" s="42" t="str">
        <f>HYPERLINK("https://catalog.onliner.by/xmaslights/neonnight/nnn501314", "https://catalog.onliner.by/xmaslights/neonnight/nnn501314")</f>
        <v>https://catalog.onliner.by/xmaslights/neonnight/nnn501314</v>
      </c>
      <c r="N1387" s="42" t="str">
        <f>HYPERLINK("https://pronto.by/catalog/product/501-314.html", "https://pronto.by/catalog/product/501-314.html")</f>
        <v>https://pronto.by/catalog/product/501-314.html</v>
      </c>
    </row>
    <row r="1388" spans="1:14" customFormat="1" ht="55.2">
      <c r="A1388" s="35" t="s">
        <v>4271</v>
      </c>
      <c r="B1388" s="19" t="s">
        <v>4272</v>
      </c>
      <c r="C1388" s="20" t="s">
        <v>4273</v>
      </c>
      <c r="D1388" s="36" t="s">
        <v>28</v>
      </c>
      <c r="E1388" s="37" t="s">
        <v>3295</v>
      </c>
      <c r="F1388" s="43">
        <v>1360.38</v>
      </c>
      <c r="G1388" s="100">
        <f t="shared" si="21"/>
        <v>1360.38</v>
      </c>
      <c r="H1388" s="101"/>
      <c r="I1388" s="100">
        <f>G1388*H1388</f>
        <v>0</v>
      </c>
      <c r="J1388" s="39" t="s">
        <v>3336</v>
      </c>
      <c r="K1388" s="40" t="s">
        <v>31</v>
      </c>
      <c r="L1388" s="41"/>
      <c r="M1388" s="42" t="str">
        <f>HYPERLINK("https://catalog.onliner.by/xmaslights/neonnight/nn501315", "https://catalog.onliner.by/xmaslights/neonnight/nn501315")</f>
        <v>https://catalog.onliner.by/xmaslights/neonnight/nn501315</v>
      </c>
      <c r="N1388" s="42" t="str">
        <f>HYPERLINK("https://pronto.by/catalog/product/501-315.html", "https://pronto.by/catalog/product/501-315.html")</f>
        <v>https://pronto.by/catalog/product/501-315.html</v>
      </c>
    </row>
    <row r="1389" spans="1:14" customFormat="1" ht="41.4">
      <c r="A1389" s="35" t="s">
        <v>3123</v>
      </c>
      <c r="B1389" s="19" t="s">
        <v>3124</v>
      </c>
      <c r="C1389" s="20" t="s">
        <v>3125</v>
      </c>
      <c r="D1389" s="36" t="s">
        <v>28</v>
      </c>
      <c r="E1389" s="37" t="s">
        <v>3295</v>
      </c>
      <c r="F1389" s="43">
        <v>1218.42</v>
      </c>
      <c r="G1389" s="100">
        <f t="shared" si="21"/>
        <v>1218.42</v>
      </c>
      <c r="H1389" s="101"/>
      <c r="I1389" s="100">
        <f>G1389*H1389</f>
        <v>0</v>
      </c>
      <c r="J1389" s="39" t="s">
        <v>3336</v>
      </c>
      <c r="K1389" s="40" t="s">
        <v>31</v>
      </c>
      <c r="L1389" s="41"/>
      <c r="M1389" s="42" t="str">
        <f>HYPERLINK("https://catalog.onliner.by/xmaslights/neonnight/nn501359", "https://catalog.onliner.by/xmaslights/neonnight/nn501359")</f>
        <v>https://catalog.onliner.by/xmaslights/neonnight/nn501359</v>
      </c>
      <c r="N1389" s="42" t="str">
        <f>HYPERLINK("https://pronto.by/catalog/product/501-359.html", "https://pronto.by/catalog/product/501-359.html")</f>
        <v>https://pronto.by/catalog/product/501-359.html</v>
      </c>
    </row>
    <row r="1390" spans="1:14" customFormat="1" ht="41.4">
      <c r="A1390" s="35" t="s">
        <v>3126</v>
      </c>
      <c r="B1390" s="19" t="s">
        <v>3127</v>
      </c>
      <c r="C1390" s="20" t="s">
        <v>3128</v>
      </c>
      <c r="D1390" s="36" t="s">
        <v>28</v>
      </c>
      <c r="E1390" s="37" t="s">
        <v>3283</v>
      </c>
      <c r="F1390" s="43">
        <v>197.46</v>
      </c>
      <c r="G1390" s="100">
        <f t="shared" si="21"/>
        <v>197.46</v>
      </c>
      <c r="H1390" s="101"/>
      <c r="I1390" s="100">
        <f>G1390*H1390</f>
        <v>0</v>
      </c>
      <c r="J1390" s="39" t="s">
        <v>3336</v>
      </c>
      <c r="K1390" s="40" t="s">
        <v>31</v>
      </c>
      <c r="L1390" s="41"/>
      <c r="M1390" s="42" t="str">
        <f>HYPERLINK("https://catalog.onliner.by/xmaslights/neonnight/nn501355", "https://catalog.onliner.by/xmaslights/neonnight/nn501355")</f>
        <v>https://catalog.onliner.by/xmaslights/neonnight/nn501355</v>
      </c>
      <c r="N1390" s="42" t="str">
        <f>HYPERLINK("https://pronto.by/catalog/product/501-355.html", "https://pronto.by/catalog/product/501-355.html")</f>
        <v>https://pronto.by/catalog/product/501-355.html</v>
      </c>
    </row>
    <row r="1391" spans="1:14" customFormat="1" ht="41.4">
      <c r="A1391" s="35" t="s">
        <v>4274</v>
      </c>
      <c r="B1391" s="19" t="s">
        <v>4275</v>
      </c>
      <c r="C1391" s="20" t="s">
        <v>4276</v>
      </c>
      <c r="D1391" s="36" t="s">
        <v>28</v>
      </c>
      <c r="E1391" s="37" t="s">
        <v>3283</v>
      </c>
      <c r="F1391" s="43">
        <v>640.56000000000006</v>
      </c>
      <c r="G1391" s="100">
        <f t="shared" si="21"/>
        <v>640.55999999999995</v>
      </c>
      <c r="H1391" s="101"/>
      <c r="I1391" s="100">
        <f>G1391*H1391</f>
        <v>0</v>
      </c>
      <c r="J1391" s="39" t="s">
        <v>3336</v>
      </c>
      <c r="K1391" s="40" t="s">
        <v>31</v>
      </c>
      <c r="L1391" s="41"/>
      <c r="M1391" s="42" t="str">
        <f>HYPERLINK("https://catalog.onliner.by/xmaslights/neonnight/nn501535", "https://catalog.onliner.by/xmaslights/neonnight/nn501535")</f>
        <v>https://catalog.onliner.by/xmaslights/neonnight/nn501535</v>
      </c>
      <c r="N1391" s="42" t="str">
        <f>HYPERLINK("https://pronto.by/catalog/product/501-535.html", "https://pronto.by/catalog/product/501-535.html")</f>
        <v>https://pronto.by/catalog/product/501-535.html</v>
      </c>
    </row>
    <row r="1392" spans="1:14" customFormat="1" ht="55.2">
      <c r="A1392" s="35" t="s">
        <v>4277</v>
      </c>
      <c r="B1392" s="19" t="s">
        <v>4278</v>
      </c>
      <c r="C1392" s="20" t="s">
        <v>4279</v>
      </c>
      <c r="D1392" s="36" t="s">
        <v>28</v>
      </c>
      <c r="E1392" s="37" t="s">
        <v>3295</v>
      </c>
      <c r="F1392" s="43">
        <v>640.56000000000006</v>
      </c>
      <c r="G1392" s="100">
        <f t="shared" si="21"/>
        <v>640.55999999999995</v>
      </c>
      <c r="H1392" s="101"/>
      <c r="I1392" s="100">
        <f>G1392*H1392</f>
        <v>0</v>
      </c>
      <c r="J1392" s="39" t="s">
        <v>3336</v>
      </c>
      <c r="K1392" s="40" t="s">
        <v>31</v>
      </c>
      <c r="L1392" s="41"/>
      <c r="M1392" s="42" t="str">
        <f>HYPERLINK("https://catalog.onliner.by/xmaslights/neonnight/nn501536", "https://catalog.onliner.by/xmaslights/neonnight/nn501536")</f>
        <v>https://catalog.onliner.by/xmaslights/neonnight/nn501536</v>
      </c>
      <c r="N1392" s="42" t="str">
        <f>HYPERLINK("https://pronto.by/catalog/product/501-536.html", "https://pronto.by/catalog/product/501-536.html")</f>
        <v>https://pronto.by/catalog/product/501-536.html</v>
      </c>
    </row>
    <row r="1393" spans="1:14" customFormat="1" ht="18" customHeight="1">
      <c r="A1393" s="81" t="s">
        <v>4280</v>
      </c>
      <c r="B1393" s="67"/>
      <c r="C1393" s="67"/>
      <c r="D1393" s="32"/>
      <c r="E1393" s="32"/>
      <c r="F1393" s="32"/>
      <c r="G1393" s="52"/>
      <c r="H1393" s="52"/>
      <c r="I1393" s="52"/>
      <c r="J1393" s="32"/>
      <c r="K1393" s="32"/>
      <c r="L1393" s="33"/>
      <c r="M1393" s="33"/>
      <c r="N1393" s="34"/>
    </row>
    <row r="1394" spans="1:14" customFormat="1" ht="71.400000000000006">
      <c r="A1394" s="35" t="s">
        <v>3129</v>
      </c>
      <c r="B1394" s="19" t="s">
        <v>3130</v>
      </c>
      <c r="C1394" s="20" t="s">
        <v>3131</v>
      </c>
      <c r="D1394" s="36" t="s">
        <v>28</v>
      </c>
      <c r="E1394" s="37" t="s">
        <v>3280</v>
      </c>
      <c r="F1394" s="43">
        <v>1041.78</v>
      </c>
      <c r="G1394" s="100">
        <f t="shared" si="21"/>
        <v>1041.78</v>
      </c>
      <c r="H1394" s="101"/>
      <c r="I1394" s="100">
        <f>G1394*H1394</f>
        <v>0</v>
      </c>
      <c r="J1394" s="39" t="s">
        <v>3336</v>
      </c>
      <c r="K1394" s="40" t="s">
        <v>31</v>
      </c>
      <c r="L1394" s="41"/>
      <c r="M1394" s="42" t="str">
        <f>HYPERLINK("https://catalog.onliner.by/xmaslights/neonnight/neons0003", "https://catalog.onliner.by/xmaslights/neonnight/neons0003")</f>
        <v>https://catalog.onliner.by/xmaslights/neonnight/neons0003</v>
      </c>
      <c r="N1394" s="42" t="str">
        <f>HYPERLINK("https://pronto.by/catalog/prazdnichnaya-svetotehnika/professional-professionalnye-proekty/karkasnaya-illyuminatsiya/obemnye-figury/s-0003.html", "https://pronto.by/catalog/prazdnichnaya-svetotehnika/professional-professionalnye-proekty/karkasnaya-illyuminatsiya/obemnye-figury/s-0003.html")</f>
        <v>https://pronto.by/catalog/prazdnichnaya-svetotehnika/professional-professionalnye-proekty/karkasnaya-illyuminatsiya/obemnye-figury/s-0003.html</v>
      </c>
    </row>
    <row r="1395" spans="1:14" customFormat="1" ht="71.400000000000006">
      <c r="A1395" s="35" t="s">
        <v>4281</v>
      </c>
      <c r="B1395" s="19" t="s">
        <v>4282</v>
      </c>
      <c r="C1395" s="20" t="s">
        <v>4283</v>
      </c>
      <c r="D1395" s="36" t="s">
        <v>28</v>
      </c>
      <c r="E1395" s="37" t="s">
        <v>3280</v>
      </c>
      <c r="F1395" s="43">
        <v>18751.560000000001</v>
      </c>
      <c r="G1395" s="100">
        <f t="shared" si="21"/>
        <v>18751.560000000001</v>
      </c>
      <c r="H1395" s="101"/>
      <c r="I1395" s="100">
        <f>G1395*H1395</f>
        <v>0</v>
      </c>
      <c r="J1395" s="39" t="s">
        <v>3336</v>
      </c>
      <c r="K1395" s="40" t="s">
        <v>31</v>
      </c>
      <c r="L1395" s="41"/>
      <c r="M1395" s="42" t="str">
        <f>HYPERLINK("https://catalog.onliner.by/xmaslights/neonnight/neons0001", "https://catalog.onliner.by/xmaslights/neonnight/neons0001")</f>
        <v>https://catalog.onliner.by/xmaslights/neonnight/neons0001</v>
      </c>
      <c r="N1395" s="42" t="str">
        <f>HYPERLINK("https://pronto.by/catalog/prazdnichnaya-svetotehnika/professional-professionalnye-proekty/karkasnaya-illyuminatsiya/obemnye-figury/s-0001.html", "https://pronto.by/catalog/prazdnichnaya-svetotehnika/professional-professionalnye-proekty/karkasnaya-illyuminatsiya/obemnye-figury/s-0001.html")</f>
        <v>https://pronto.by/catalog/prazdnichnaya-svetotehnika/professional-professionalnye-proekty/karkasnaya-illyuminatsiya/obemnye-figury/s-0001.html</v>
      </c>
    </row>
    <row r="1396" spans="1:14" customFormat="1" ht="71.400000000000006">
      <c r="A1396" s="35" t="s">
        <v>3132</v>
      </c>
      <c r="B1396" s="19" t="s">
        <v>3133</v>
      </c>
      <c r="C1396" s="20" t="s">
        <v>3134</v>
      </c>
      <c r="D1396" s="36" t="s">
        <v>28</v>
      </c>
      <c r="E1396" s="37" t="s">
        <v>3280</v>
      </c>
      <c r="F1396" s="43">
        <v>2734.7400000000002</v>
      </c>
      <c r="G1396" s="100">
        <f t="shared" si="21"/>
        <v>2734.74</v>
      </c>
      <c r="H1396" s="101"/>
      <c r="I1396" s="100">
        <f>G1396*H1396</f>
        <v>0</v>
      </c>
      <c r="J1396" s="39" t="s">
        <v>3336</v>
      </c>
      <c r="K1396" s="40" t="s">
        <v>31</v>
      </c>
      <c r="L1396" s="41"/>
      <c r="M1396" s="42" t="str">
        <f>HYPERLINK("https://catalog.onliner.by/xmaslights/neonnight/neon501236", "https://catalog.onliner.by/xmaslights/neonnight/neon501236")</f>
        <v>https://catalog.onliner.by/xmaslights/neonnight/neon501236</v>
      </c>
      <c r="N1396" s="42" t="str">
        <f>HYPERLINK("https://pronto.by/catalog/prazdnichnaya-svetotehnika/professional-professionalnye-proekty/karkasnaya-illyuminatsiya/obemnye-figury/501-236.html", "https://pronto.by/catalog/prazdnichnaya-svetotehnika/professional-professionalnye-proekty/karkasnaya-illyuminatsiya/obemnye-figury/501-236.html")</f>
        <v>https://pronto.by/catalog/prazdnichnaya-svetotehnika/professional-professionalnye-proekty/karkasnaya-illyuminatsiya/obemnye-figury/501-236.html</v>
      </c>
    </row>
    <row r="1397" spans="1:14" customFormat="1" ht="71.400000000000006">
      <c r="A1397" s="35" t="s">
        <v>3135</v>
      </c>
      <c r="B1397" s="19" t="s">
        <v>3136</v>
      </c>
      <c r="C1397" s="20" t="s">
        <v>3137</v>
      </c>
      <c r="D1397" s="36" t="s">
        <v>28</v>
      </c>
      <c r="E1397" s="37" t="s">
        <v>3280</v>
      </c>
      <c r="F1397" s="43">
        <v>2604.48</v>
      </c>
      <c r="G1397" s="100">
        <f t="shared" si="21"/>
        <v>2604.48</v>
      </c>
      <c r="H1397" s="101"/>
      <c r="I1397" s="100">
        <f>G1397*H1397</f>
        <v>0</v>
      </c>
      <c r="J1397" s="39" t="s">
        <v>3336</v>
      </c>
      <c r="K1397" s="40" t="s">
        <v>31</v>
      </c>
      <c r="L1397" s="41"/>
      <c r="M1397" s="42" t="str">
        <f>HYPERLINK("https://catalog.onliner.by/xmaslights/neonnight/neon501237", "https://catalog.onliner.by/xmaslights/neonnight/neon501237")</f>
        <v>https://catalog.onliner.by/xmaslights/neonnight/neon501237</v>
      </c>
      <c r="N1397" s="42" t="str">
        <f>HYPERLINK("https://pronto.by/catalog/prazdnichnaya-svetotehnika/professional-professionalnye-proekty/karkasnaya-illyuminatsiya/obemnye-figury/501-237.html", "https://pronto.by/catalog/prazdnichnaya-svetotehnika/professional-professionalnye-proekty/karkasnaya-illyuminatsiya/obemnye-figury/501-237.html")</f>
        <v>https://pronto.by/catalog/prazdnichnaya-svetotehnika/professional-professionalnye-proekty/karkasnaya-illyuminatsiya/obemnye-figury/501-237.html</v>
      </c>
    </row>
    <row r="1398" spans="1:14" customFormat="1" ht="55.2">
      <c r="A1398" s="35" t="s">
        <v>4284</v>
      </c>
      <c r="B1398" s="19" t="s">
        <v>4285</v>
      </c>
      <c r="C1398" s="20" t="s">
        <v>4286</v>
      </c>
      <c r="D1398" s="36" t="s">
        <v>28</v>
      </c>
      <c r="E1398" s="37" t="s">
        <v>3280</v>
      </c>
      <c r="F1398" s="43">
        <v>2843.58</v>
      </c>
      <c r="G1398" s="100">
        <f t="shared" si="21"/>
        <v>2843.58</v>
      </c>
      <c r="H1398" s="101"/>
      <c r="I1398" s="100">
        <f>G1398*H1398</f>
        <v>0</v>
      </c>
      <c r="J1398" s="39" t="s">
        <v>3336</v>
      </c>
      <c r="K1398" s="40" t="s">
        <v>31</v>
      </c>
      <c r="L1398" s="41"/>
      <c r="M1398" s="42" t="str">
        <f>HYPERLINK("https://catalog.onliner.by/xmaslights/neonnight/nn501231", "https://catalog.onliner.by/xmaslights/neonnight/nn501231")</f>
        <v>https://catalog.onliner.by/xmaslights/neonnight/nn501231</v>
      </c>
      <c r="N1398" s="42" t="str">
        <f>HYPERLINK("https://pronto.by/catalog/product/501-231.html", "https://pronto.by/catalog/product/501-231.html")</f>
        <v>https://pronto.by/catalog/product/501-231.html</v>
      </c>
    </row>
    <row r="1399" spans="1:14" customFormat="1" ht="30.6">
      <c r="A1399" s="35" t="s">
        <v>3138</v>
      </c>
      <c r="B1399" s="19" t="s">
        <v>3139</v>
      </c>
      <c r="C1399" s="20" t="s">
        <v>3140</v>
      </c>
      <c r="D1399" s="36" t="s">
        <v>28</v>
      </c>
      <c r="E1399" s="37" t="s">
        <v>3280</v>
      </c>
      <c r="F1399" s="43">
        <v>1692.6</v>
      </c>
      <c r="G1399" s="100">
        <f t="shared" si="21"/>
        <v>1692.6</v>
      </c>
      <c r="H1399" s="101"/>
      <c r="I1399" s="100">
        <f>G1399*H1399</f>
        <v>0</v>
      </c>
      <c r="J1399" s="39" t="s">
        <v>3336</v>
      </c>
      <c r="K1399" s="40" t="s">
        <v>31</v>
      </c>
      <c r="L1399" s="41"/>
      <c r="M1399" s="42" t="str">
        <f>HYPERLINK("https://catalog.onliner.by/xmaslights/neonnight/neon501417", "https://catalog.onliner.by/xmaslights/neonnight/neon501417")</f>
        <v>https://catalog.onliner.by/xmaslights/neonnight/neon501417</v>
      </c>
      <c r="N1399" s="42" t="str">
        <f>HYPERLINK("https://pronto.by/catalog/product/501-417.html", "https://pronto.by/catalog/product/501-417.html")</f>
        <v>https://pronto.by/catalog/product/501-417.html</v>
      </c>
    </row>
    <row r="1400" spans="1:14" customFormat="1" ht="55.2">
      <c r="A1400" s="35" t="s">
        <v>3141</v>
      </c>
      <c r="B1400" s="19" t="s">
        <v>3142</v>
      </c>
      <c r="C1400" s="20" t="s">
        <v>3143</v>
      </c>
      <c r="D1400" s="36" t="s">
        <v>28</v>
      </c>
      <c r="E1400" s="37" t="s">
        <v>3280</v>
      </c>
      <c r="F1400" s="43">
        <v>8750.34</v>
      </c>
      <c r="G1400" s="100">
        <f t="shared" si="21"/>
        <v>8750.34</v>
      </c>
      <c r="H1400" s="101"/>
      <c r="I1400" s="100">
        <f>G1400*H1400</f>
        <v>0</v>
      </c>
      <c r="J1400" s="39" t="s">
        <v>3336</v>
      </c>
      <c r="K1400" s="40" t="s">
        <v>31</v>
      </c>
      <c r="L1400" s="41"/>
      <c r="M1400" s="42" t="str">
        <f>HYPERLINK("https://catalog.onliner.by/xmaslights/neonnight/nn501235", "https://catalog.onliner.by/xmaslights/neonnight/nn501235")</f>
        <v>https://catalog.onliner.by/xmaslights/neonnight/nn501235</v>
      </c>
      <c r="N1400" s="42" t="str">
        <f>HYPERLINK("https://pronto.by/catalog/product/501-235.html", "https://pronto.by/catalog/product/501-235.html")</f>
        <v>https://pronto.by/catalog/product/501-235.html</v>
      </c>
    </row>
    <row r="1401" spans="1:14" customFormat="1" ht="30.6">
      <c r="A1401" s="35" t="s">
        <v>3144</v>
      </c>
      <c r="B1401" s="19" t="s">
        <v>3145</v>
      </c>
      <c r="C1401" s="20" t="s">
        <v>3146</v>
      </c>
      <c r="D1401" s="36" t="s">
        <v>28</v>
      </c>
      <c r="E1401" s="37" t="s">
        <v>3280</v>
      </c>
      <c r="F1401" s="43">
        <v>10375.86</v>
      </c>
      <c r="G1401" s="100">
        <f t="shared" si="21"/>
        <v>10375.86</v>
      </c>
      <c r="H1401" s="101"/>
      <c r="I1401" s="100">
        <f>G1401*H1401</f>
        <v>0</v>
      </c>
      <c r="J1401" s="39" t="s">
        <v>3336</v>
      </c>
      <c r="K1401" s="40" t="s">
        <v>31</v>
      </c>
      <c r="L1401" s="41"/>
      <c r="M1401" s="42" t="str">
        <f>HYPERLINK("https://catalog.onliner.by/xmaslights/neonnight/nn503112", "https://catalog.onliner.by/xmaslights/neonnight/nn503112")</f>
        <v>https://catalog.onliner.by/xmaslights/neonnight/nn503112</v>
      </c>
      <c r="N1401" s="42" t="str">
        <f>HYPERLINK("https://pronto.by/catalog/product/503-112.html", "https://pronto.by/catalog/product/503-112.html")</f>
        <v>https://pronto.by/catalog/product/503-112.html</v>
      </c>
    </row>
    <row r="1402" spans="1:14" customFormat="1" ht="18" customHeight="1">
      <c r="A1402" s="81" t="s">
        <v>4287</v>
      </c>
      <c r="B1402" s="67"/>
      <c r="C1402" s="67"/>
      <c r="D1402" s="32"/>
      <c r="E1402" s="32"/>
      <c r="F1402" s="32"/>
      <c r="G1402" s="52"/>
      <c r="H1402" s="52"/>
      <c r="I1402" s="52"/>
      <c r="J1402" s="32"/>
      <c r="K1402" s="32"/>
      <c r="L1402" s="33"/>
      <c r="M1402" s="33"/>
      <c r="N1402" s="34"/>
    </row>
    <row r="1403" spans="1:14" customFormat="1" ht="30.6">
      <c r="A1403" s="35" t="s">
        <v>3147</v>
      </c>
      <c r="B1403" s="19" t="s">
        <v>3148</v>
      </c>
      <c r="C1403" s="20" t="s">
        <v>3149</v>
      </c>
      <c r="D1403" s="36" t="s">
        <v>28</v>
      </c>
      <c r="E1403" s="37" t="s">
        <v>3292</v>
      </c>
      <c r="F1403" s="43">
        <v>254.22000000000003</v>
      </c>
      <c r="G1403" s="100">
        <f t="shared" si="21"/>
        <v>254.22</v>
      </c>
      <c r="H1403" s="101"/>
      <c r="I1403" s="100">
        <f>G1403*H1403</f>
        <v>0</v>
      </c>
      <c r="J1403" s="39" t="s">
        <v>3336</v>
      </c>
      <c r="K1403" s="40" t="s">
        <v>31</v>
      </c>
      <c r="L1403" s="41"/>
      <c r="M1403" s="42" t="str">
        <f>HYPERLINK("https://catalog.onliner.by/xmaslights/neonnight/nn506212", "https://catalog.onliner.by/xmaslights/neonnight/nn506212")</f>
        <v>https://catalog.onliner.by/xmaslights/neonnight/nn506212</v>
      </c>
      <c r="N1403" s="42" t="str">
        <f>HYPERLINK("https://pronto.by/catalog/product/506-212.html", "https://pronto.by/catalog/product/506-212.html")</f>
        <v>https://pronto.by/catalog/product/506-212.html</v>
      </c>
    </row>
    <row r="1404" spans="1:14" customFormat="1" ht="41.4">
      <c r="A1404" s="35" t="s">
        <v>3150</v>
      </c>
      <c r="B1404" s="19" t="s">
        <v>3151</v>
      </c>
      <c r="C1404" s="20" t="s">
        <v>3152</v>
      </c>
      <c r="D1404" s="36" t="s">
        <v>28</v>
      </c>
      <c r="E1404" s="37" t="s">
        <v>3285</v>
      </c>
      <c r="F1404" s="43">
        <v>1666.0800000000002</v>
      </c>
      <c r="G1404" s="100">
        <f t="shared" si="21"/>
        <v>1666.08</v>
      </c>
      <c r="H1404" s="101"/>
      <c r="I1404" s="100">
        <f>G1404*H1404</f>
        <v>0</v>
      </c>
      <c r="J1404" s="39" t="s">
        <v>3336</v>
      </c>
      <c r="K1404" s="40" t="s">
        <v>31</v>
      </c>
      <c r="L1404" s="41"/>
      <c r="M1404" s="42" t="str">
        <f>HYPERLINK("https://catalog.onliner.by/xmaslights/neonnight/nn501625", "https://catalog.onliner.by/xmaslights/neonnight/nn501625")</f>
        <v>https://catalog.onliner.by/xmaslights/neonnight/nn501625</v>
      </c>
      <c r="N1404" s="42" t="str">
        <f>HYPERLINK("https://pronto.by/catalog/product/501-625.html", "https://pronto.by/catalog/product/501-625.html")</f>
        <v>https://pronto.by/catalog/product/501-625.html</v>
      </c>
    </row>
    <row r="1405" spans="1:14" customFormat="1" ht="55.2">
      <c r="A1405" s="35" t="s">
        <v>3153</v>
      </c>
      <c r="B1405" s="19" t="s">
        <v>3154</v>
      </c>
      <c r="C1405" s="20" t="s">
        <v>3155</v>
      </c>
      <c r="D1405" s="36" t="s">
        <v>28</v>
      </c>
      <c r="E1405" s="37" t="s">
        <v>3280</v>
      </c>
      <c r="F1405" s="43">
        <v>1796.04</v>
      </c>
      <c r="G1405" s="100">
        <f t="shared" si="21"/>
        <v>1796.04</v>
      </c>
      <c r="H1405" s="101"/>
      <c r="I1405" s="100">
        <f>G1405*H1405</f>
        <v>0</v>
      </c>
      <c r="J1405" s="39" t="s">
        <v>3336</v>
      </c>
      <c r="K1405" s="40" t="s">
        <v>41</v>
      </c>
      <c r="L1405" s="41"/>
      <c r="M1405" s="42" t="str">
        <f>HYPERLINK("https://catalog.onliner.by/xmaslights/neonnight/neon501629", "https://catalog.onliner.by/xmaslights/neonnight/neon501629")</f>
        <v>https://catalog.onliner.by/xmaslights/neonnight/neon501629</v>
      </c>
      <c r="N1405" s="42" t="str">
        <f>HYPERLINK("https://pronto.by/catalog/product/501-629.html", "https://pronto.by/catalog/product/501-629.html")</f>
        <v>https://pronto.by/catalog/product/501-629.html</v>
      </c>
    </row>
    <row r="1406" spans="1:14" customFormat="1" ht="55.2">
      <c r="A1406" s="35" t="s">
        <v>3156</v>
      </c>
      <c r="B1406" s="19" t="s">
        <v>3157</v>
      </c>
      <c r="C1406" s="20" t="s">
        <v>3158</v>
      </c>
      <c r="D1406" s="36" t="s">
        <v>28</v>
      </c>
      <c r="E1406" s="37" t="s">
        <v>3280</v>
      </c>
      <c r="F1406" s="43">
        <v>467.04</v>
      </c>
      <c r="G1406" s="100">
        <f t="shared" si="21"/>
        <v>467.04</v>
      </c>
      <c r="H1406" s="101"/>
      <c r="I1406" s="100">
        <f>G1406*H1406</f>
        <v>0</v>
      </c>
      <c r="J1406" s="39" t="s">
        <v>3336</v>
      </c>
      <c r="K1406" s="40" t="s">
        <v>1391</v>
      </c>
      <c r="L1406" s="41"/>
      <c r="M1406" s="42" t="str">
        <f>HYPERLINK("https://catalog.onliner.by/xmaslights/neonnight/nn501612", "https://catalog.onliner.by/xmaslights/neonnight/nn501612")</f>
        <v>https://catalog.onliner.by/xmaslights/neonnight/nn501612</v>
      </c>
      <c r="N1406" s="42" t="str">
        <f>HYPERLINK("https://pronto.by/catalog/product/501-612.html", "https://pronto.by/catalog/product/501-612.html")</f>
        <v>https://pronto.by/catalog/product/501-612.html</v>
      </c>
    </row>
    <row r="1407" spans="1:14" customFormat="1" ht="55.2">
      <c r="A1407" s="35" t="s">
        <v>3159</v>
      </c>
      <c r="B1407" s="19" t="s">
        <v>3160</v>
      </c>
      <c r="C1407" s="20" t="s">
        <v>3161</v>
      </c>
      <c r="D1407" s="36" t="s">
        <v>28</v>
      </c>
      <c r="E1407" s="37" t="s">
        <v>3280</v>
      </c>
      <c r="F1407" s="43">
        <v>467.04</v>
      </c>
      <c r="G1407" s="100">
        <f t="shared" si="21"/>
        <v>467.04</v>
      </c>
      <c r="H1407" s="101"/>
      <c r="I1407" s="100">
        <f>G1407*H1407</f>
        <v>0</v>
      </c>
      <c r="J1407" s="39" t="s">
        <v>3336</v>
      </c>
      <c r="K1407" s="40" t="s">
        <v>31</v>
      </c>
      <c r="L1407" s="41"/>
      <c r="M1407" s="42" t="str">
        <f>HYPERLINK("https://catalog.onliner.by/xmaslights/neonnight/neon501609", "https://catalog.onliner.by/xmaslights/neonnight/neon501609")</f>
        <v>https://catalog.onliner.by/xmaslights/neonnight/neon501609</v>
      </c>
      <c r="N1407" s="42" t="str">
        <f>HYPERLINK("https://pronto.by/catalog/product/501-609.html", "https://pronto.by/catalog/product/501-609.html")</f>
        <v>https://pronto.by/catalog/product/501-609.html</v>
      </c>
    </row>
    <row r="1408" spans="1:14" customFormat="1" ht="55.2">
      <c r="A1408" s="35" t="s">
        <v>3162</v>
      </c>
      <c r="B1408" s="19" t="s">
        <v>3163</v>
      </c>
      <c r="C1408" s="20" t="s">
        <v>3164</v>
      </c>
      <c r="D1408" s="36" t="s">
        <v>28</v>
      </c>
      <c r="E1408" s="37" t="s">
        <v>3280</v>
      </c>
      <c r="F1408" s="43">
        <v>743.7600000000001</v>
      </c>
      <c r="G1408" s="100">
        <f t="shared" si="21"/>
        <v>743.76</v>
      </c>
      <c r="H1408" s="101"/>
      <c r="I1408" s="100">
        <f>G1408*H1408</f>
        <v>0</v>
      </c>
      <c r="J1408" s="39" t="s">
        <v>3336</v>
      </c>
      <c r="K1408" s="40" t="s">
        <v>41</v>
      </c>
      <c r="L1408" s="41"/>
      <c r="M1408" s="42" t="str">
        <f>HYPERLINK("https://catalog.onliner.by/xmaslights/neonnight/nn501613", "https://catalog.onliner.by/xmaslights/neonnight/nn501613")</f>
        <v>https://catalog.onliner.by/xmaslights/neonnight/nn501613</v>
      </c>
      <c r="N1408" s="42" t="str">
        <f>HYPERLINK("https://pronto.by/catalog/product/501-613.html", "https://pronto.by/catalog/product/501-613.html")</f>
        <v>https://pronto.by/catalog/product/501-613.html</v>
      </c>
    </row>
    <row r="1409" spans="1:14" customFormat="1" ht="71.400000000000006">
      <c r="A1409" s="45" t="s">
        <v>3165</v>
      </c>
      <c r="B1409" s="46" t="s">
        <v>3166</v>
      </c>
      <c r="C1409" s="54" t="s">
        <v>3167</v>
      </c>
      <c r="D1409" s="47" t="s">
        <v>28</v>
      </c>
      <c r="E1409" s="48" t="s">
        <v>3280</v>
      </c>
      <c r="F1409" s="43">
        <v>743.7600000000001</v>
      </c>
      <c r="G1409" s="100">
        <f t="shared" si="21"/>
        <v>743.76</v>
      </c>
      <c r="H1409" s="101"/>
      <c r="I1409" s="100">
        <f>G1409*H1409</f>
        <v>0</v>
      </c>
      <c r="J1409" s="39" t="s">
        <v>3336</v>
      </c>
      <c r="K1409" s="40" t="s">
        <v>31</v>
      </c>
      <c r="L1409" s="41"/>
      <c r="M1409" s="42" t="s">
        <v>4288</v>
      </c>
      <c r="N1409" s="42" t="str">
        <f>HYPERLINK("https://pronto.by/catalog/prazdnichnaya-svetotehnika/professional-professionalnye-proekty/karkasnaya-illyuminatsiya/shary/501-615.html", "https://pronto.by/catalog/prazdnichnaya-svetotehnika/professional-professionalnye-proekty/karkasnaya-illyuminatsiya/shary/501-615.html")</f>
        <v>https://pronto.by/catalog/prazdnichnaya-svetotehnika/professional-professionalnye-proekty/karkasnaya-illyuminatsiya/shary/501-615.html</v>
      </c>
    </row>
    <row r="1410" spans="1:14" customFormat="1" ht="71.400000000000006">
      <c r="A1410" s="45" t="s">
        <v>3168</v>
      </c>
      <c r="B1410" s="46" t="s">
        <v>3169</v>
      </c>
      <c r="C1410" s="54" t="s">
        <v>3170</v>
      </c>
      <c r="D1410" s="47" t="s">
        <v>28</v>
      </c>
      <c r="E1410" s="48" t="s">
        <v>3280</v>
      </c>
      <c r="F1410" s="43">
        <v>1050.42</v>
      </c>
      <c r="G1410" s="100">
        <f t="shared" si="21"/>
        <v>1050.42</v>
      </c>
      <c r="H1410" s="101"/>
      <c r="I1410" s="100">
        <f>G1410*H1410</f>
        <v>0</v>
      </c>
      <c r="J1410" s="39" t="s">
        <v>3336</v>
      </c>
      <c r="K1410" s="40" t="s">
        <v>31</v>
      </c>
      <c r="L1410" s="41"/>
      <c r="M1410" s="42" t="s">
        <v>4289</v>
      </c>
      <c r="N1410" s="42" t="str">
        <f>HYPERLINK("https://pronto.by/catalog/prazdnichnaya-svetotehnika/professional-professionalnye-proekty/karkasnaya-illyuminatsiya/shary/501-616.html", "https://pronto.by/catalog/prazdnichnaya-svetotehnika/professional-professionalnye-proekty/karkasnaya-illyuminatsiya/shary/501-616.html")</f>
        <v>https://pronto.by/catalog/prazdnichnaya-svetotehnika/professional-professionalnye-proekty/karkasnaya-illyuminatsiya/shary/501-616.html</v>
      </c>
    </row>
    <row r="1411" spans="1:14" customFormat="1" ht="55.2">
      <c r="A1411" s="35" t="s">
        <v>3171</v>
      </c>
      <c r="B1411" s="19" t="s">
        <v>3172</v>
      </c>
      <c r="C1411" s="20" t="s">
        <v>3173</v>
      </c>
      <c r="D1411" s="36" t="s">
        <v>28</v>
      </c>
      <c r="E1411" s="37" t="s">
        <v>3280</v>
      </c>
      <c r="F1411" s="43">
        <v>743.7600000000001</v>
      </c>
      <c r="G1411" s="100">
        <f t="shared" si="21"/>
        <v>743.76</v>
      </c>
      <c r="H1411" s="101"/>
      <c r="I1411" s="100">
        <f>G1411*H1411</f>
        <v>0</v>
      </c>
      <c r="J1411" s="39" t="s">
        <v>3336</v>
      </c>
      <c r="K1411" s="40" t="s">
        <v>31</v>
      </c>
      <c r="L1411" s="41"/>
      <c r="M1411" s="42" t="str">
        <f>HYPERLINK("https://catalog.onliner.by/xmaslights/neonnight/nn501644", "https://catalog.onliner.by/xmaslights/neonnight/nn501644")</f>
        <v>https://catalog.onliner.by/xmaslights/neonnight/nn501644</v>
      </c>
      <c r="N1411" s="42" t="str">
        <f>HYPERLINK("https://pronto.by/catalog/product/501-644.html", "https://pronto.by/catalog/product/501-644.html")</f>
        <v>https://pronto.by/catalog/product/501-644.html</v>
      </c>
    </row>
    <row r="1412" spans="1:14" customFormat="1" ht="55.2">
      <c r="A1412" s="35" t="s">
        <v>3174</v>
      </c>
      <c r="B1412" s="19" t="s">
        <v>3175</v>
      </c>
      <c r="C1412" s="20" t="s">
        <v>3176</v>
      </c>
      <c r="D1412" s="36" t="s">
        <v>28</v>
      </c>
      <c r="E1412" s="37" t="s">
        <v>3280</v>
      </c>
      <c r="F1412" s="43">
        <v>1050.42</v>
      </c>
      <c r="G1412" s="100">
        <f t="shared" si="21"/>
        <v>1050.42</v>
      </c>
      <c r="H1412" s="101"/>
      <c r="I1412" s="100">
        <f>G1412*H1412</f>
        <v>0</v>
      </c>
      <c r="J1412" s="39" t="s">
        <v>3336</v>
      </c>
      <c r="K1412" s="40" t="s">
        <v>1391</v>
      </c>
      <c r="L1412" s="41"/>
      <c r="M1412" s="42" t="str">
        <f>HYPERLINK("https://catalog.onliner.by/xmaslights/neonnight/nn501614", "https://catalog.onliner.by/xmaslights/neonnight/nn501614")</f>
        <v>https://catalog.onliner.by/xmaslights/neonnight/nn501614</v>
      </c>
      <c r="N1412" s="42" t="str">
        <f>HYPERLINK("https://pronto.by/catalog/product/501-614.html", "https://pronto.by/catalog/product/501-614.html")</f>
        <v>https://pronto.by/catalog/product/501-614.html</v>
      </c>
    </row>
    <row r="1413" spans="1:14" customFormat="1" ht="41.4">
      <c r="A1413" s="35" t="s">
        <v>3177</v>
      </c>
      <c r="B1413" s="19" t="s">
        <v>3178</v>
      </c>
      <c r="C1413" s="20" t="s">
        <v>3179</v>
      </c>
      <c r="D1413" s="36" t="s">
        <v>28</v>
      </c>
      <c r="E1413" s="37" t="s">
        <v>3280</v>
      </c>
      <c r="F1413" s="43">
        <v>1181.28</v>
      </c>
      <c r="G1413" s="100">
        <f t="shared" si="21"/>
        <v>1181.28</v>
      </c>
      <c r="H1413" s="101"/>
      <c r="I1413" s="100">
        <f>G1413*H1413</f>
        <v>0</v>
      </c>
      <c r="J1413" s="39" t="s">
        <v>3336</v>
      </c>
      <c r="K1413" s="40" t="s">
        <v>31</v>
      </c>
      <c r="L1413" s="41"/>
      <c r="M1413" s="42" t="str">
        <f>HYPERLINK("https://catalog.onliner.by/xmaslights/neonnight/nn501624", "https://catalog.onliner.by/xmaslights/neonnight/nn501624")</f>
        <v>https://catalog.onliner.by/xmaslights/neonnight/nn501624</v>
      </c>
      <c r="N1413" s="42" t="str">
        <f>HYPERLINK("https://pronto.by/catalog/product/501-624.html", "https://pronto.by/catalog/product/501-624.html")</f>
        <v>https://pronto.by/catalog/product/501-624.html</v>
      </c>
    </row>
    <row r="1414" spans="1:14" customFormat="1" ht="18" customHeight="1">
      <c r="A1414" s="81" t="s">
        <v>4290</v>
      </c>
      <c r="B1414" s="67"/>
      <c r="C1414" s="67"/>
      <c r="D1414" s="32"/>
      <c r="E1414" s="32"/>
      <c r="F1414" s="32"/>
      <c r="G1414" s="52"/>
      <c r="H1414" s="52"/>
      <c r="I1414" s="52"/>
      <c r="J1414" s="32"/>
      <c r="K1414" s="32"/>
      <c r="L1414" s="33"/>
      <c r="M1414" s="33"/>
      <c r="N1414" s="34"/>
    </row>
    <row r="1415" spans="1:14" customFormat="1" ht="55.2">
      <c r="A1415" s="35" t="s">
        <v>3180</v>
      </c>
      <c r="B1415" s="19" t="s">
        <v>3181</v>
      </c>
      <c r="C1415" s="20" t="s">
        <v>3182</v>
      </c>
      <c r="D1415" s="36" t="s">
        <v>28</v>
      </c>
      <c r="E1415" s="37" t="s">
        <v>3280</v>
      </c>
      <c r="F1415" s="43">
        <v>648.06000000000006</v>
      </c>
      <c r="G1415" s="100">
        <f t="shared" si="21"/>
        <v>648.05999999999995</v>
      </c>
      <c r="H1415" s="101"/>
      <c r="I1415" s="100">
        <f>G1415*H1415</f>
        <v>0</v>
      </c>
      <c r="J1415" s="39" t="s">
        <v>3336</v>
      </c>
      <c r="K1415" s="40" t="s">
        <v>41</v>
      </c>
      <c r="L1415" s="41"/>
      <c r="M1415" s="42" t="str">
        <f>HYPERLINK("https://catalog.onliner.by/xmaslights/neonnight/nn513455", "https://catalog.onliner.by/xmaslights/neonnight/nn513455")</f>
        <v>https://catalog.onliner.by/xmaslights/neonnight/nn513455</v>
      </c>
      <c r="N1415" s="42" t="str">
        <f>HYPERLINK("https://pronto.by/catalog/product/513-455.html", "https://pronto.by/catalog/product/513-455.html")</f>
        <v>https://pronto.by/catalog/product/513-455.html</v>
      </c>
    </row>
    <row r="1416" spans="1:14" customFormat="1" ht="41.4">
      <c r="A1416" s="35" t="s">
        <v>3183</v>
      </c>
      <c r="B1416" s="19" t="s">
        <v>3184</v>
      </c>
      <c r="C1416" s="20" t="s">
        <v>3185</v>
      </c>
      <c r="D1416" s="36" t="s">
        <v>28</v>
      </c>
      <c r="E1416" s="37" t="s">
        <v>3280</v>
      </c>
      <c r="F1416" s="43">
        <v>648.06000000000006</v>
      </c>
      <c r="G1416" s="100">
        <f t="shared" si="21"/>
        <v>648.05999999999995</v>
      </c>
      <c r="H1416" s="101"/>
      <c r="I1416" s="100">
        <f>G1416*H1416</f>
        <v>0</v>
      </c>
      <c r="J1416" s="39" t="s">
        <v>3336</v>
      </c>
      <c r="K1416" s="40" t="s">
        <v>1391</v>
      </c>
      <c r="L1416" s="41"/>
      <c r="M1416" s="42" t="str">
        <f>HYPERLINK("https://catalog.onliner.by/xmaslights/neonnight/nn513452", "https://catalog.onliner.by/xmaslights/neonnight/nn513452")</f>
        <v>https://catalog.onliner.by/xmaslights/neonnight/nn513452</v>
      </c>
      <c r="N1416" s="42" t="str">
        <f>HYPERLINK("https://pronto.by/catalog/product/513-452.html", "https://pronto.by/catalog/product/513-452.html")</f>
        <v>https://pronto.by/catalog/product/513-452.html</v>
      </c>
    </row>
    <row r="1417" spans="1:14" customFormat="1" ht="71.400000000000006">
      <c r="A1417" s="35" t="s">
        <v>3186</v>
      </c>
      <c r="B1417" s="19" t="s">
        <v>3187</v>
      </c>
      <c r="C1417" s="20" t="s">
        <v>3188</v>
      </c>
      <c r="D1417" s="36" t="s">
        <v>28</v>
      </c>
      <c r="E1417" s="37" t="s">
        <v>3285</v>
      </c>
      <c r="F1417" s="43">
        <v>773.1</v>
      </c>
      <c r="G1417" s="100">
        <f t="shared" si="21"/>
        <v>773.1</v>
      </c>
      <c r="H1417" s="101"/>
      <c r="I1417" s="100">
        <f>G1417*H1417</f>
        <v>0</v>
      </c>
      <c r="J1417" s="39" t="s">
        <v>3336</v>
      </c>
      <c r="K1417" s="40" t="s">
        <v>31</v>
      </c>
      <c r="L1417" s="41"/>
      <c r="M1417" s="42" t="str">
        <f>HYPERLINK("https://catalog.onliner.by/xmaslights/neonnight/neon513456", "https://catalog.onliner.by/xmaslights/neonnight/neon513456")</f>
        <v>https://catalog.onliner.by/xmaslights/neonnight/neon513456</v>
      </c>
      <c r="N1417" s="42" t="str">
        <f>HYPERLINK("https://pronto.by/catalog/prazdnichnaya-svetotehnika/professional-professionalnye-proekty/karkasnaya-illyuminatsiya/makushki-dlya-elok/513-456.html", "https://pronto.by/catalog/prazdnichnaya-svetotehnika/professional-professionalnye-proekty/karkasnaya-illyuminatsiya/makushki-dlya-elok/513-456.html")</f>
        <v>https://pronto.by/catalog/prazdnichnaya-svetotehnika/professional-professionalnye-proekty/karkasnaya-illyuminatsiya/makushki-dlya-elok/513-456.html</v>
      </c>
    </row>
    <row r="1418" spans="1:14" customFormat="1" ht="71.400000000000006">
      <c r="A1418" s="35" t="s">
        <v>3189</v>
      </c>
      <c r="B1418" s="19" t="s">
        <v>3190</v>
      </c>
      <c r="C1418" s="20" t="s">
        <v>3191</v>
      </c>
      <c r="D1418" s="36" t="s">
        <v>28</v>
      </c>
      <c r="E1418" s="37" t="s">
        <v>3295</v>
      </c>
      <c r="F1418" s="43">
        <v>1767.54</v>
      </c>
      <c r="G1418" s="100">
        <f t="shared" si="21"/>
        <v>1767.54</v>
      </c>
      <c r="H1418" s="101"/>
      <c r="I1418" s="100">
        <f>G1418*H1418</f>
        <v>0</v>
      </c>
      <c r="J1418" s="39" t="s">
        <v>3336</v>
      </c>
      <c r="K1418" s="40" t="s">
        <v>31</v>
      </c>
      <c r="L1418" s="41"/>
      <c r="M1418" s="42" t="str">
        <f>HYPERLINK("https://catalog.onliner.by/xmaslights/neonnight/neon514275", "https://catalog.onliner.by/xmaslights/neonnight/neon514275")</f>
        <v>https://catalog.onliner.by/xmaslights/neonnight/neon514275</v>
      </c>
      <c r="N1418" s="42" t="str">
        <f>HYPERLINK("https://pronto.by/catalog/prazdnichnaya-svetotehnika/professional-professionalnye-proekty/karkasnaya-illyuminatsiya/makushki-dlya-elok/514-275.html", "https://pronto.by/catalog/prazdnichnaya-svetotehnika/professional-professionalnye-proekty/karkasnaya-illyuminatsiya/makushki-dlya-elok/514-275.html")</f>
        <v>https://pronto.by/catalog/prazdnichnaya-svetotehnika/professional-professionalnye-proekty/karkasnaya-illyuminatsiya/makushki-dlya-elok/514-275.html</v>
      </c>
    </row>
    <row r="1419" spans="1:14" customFormat="1" ht="71.400000000000006">
      <c r="A1419" s="35" t="s">
        <v>3192</v>
      </c>
      <c r="B1419" s="19" t="s">
        <v>3193</v>
      </c>
      <c r="C1419" s="20" t="s">
        <v>3194</v>
      </c>
      <c r="D1419" s="36" t="s">
        <v>28</v>
      </c>
      <c r="E1419" s="37" t="s">
        <v>3280</v>
      </c>
      <c r="F1419" s="43">
        <v>1767.54</v>
      </c>
      <c r="G1419" s="100">
        <f t="shared" si="21"/>
        <v>1767.54</v>
      </c>
      <c r="H1419" s="101"/>
      <c r="I1419" s="100">
        <f>G1419*H1419</f>
        <v>0</v>
      </c>
      <c r="J1419" s="39" t="s">
        <v>3336</v>
      </c>
      <c r="K1419" s="40" t="s">
        <v>31</v>
      </c>
      <c r="L1419" s="41"/>
      <c r="M1419" s="42" t="str">
        <f>HYPERLINK("https://catalog.onliner.by/xmaslights/neonnight/neon514274", "https://catalog.onliner.by/xmaslights/neonnight/neon514274")</f>
        <v>https://catalog.onliner.by/xmaslights/neonnight/neon514274</v>
      </c>
      <c r="N1419" s="42" t="str">
        <f>HYPERLINK("https://pronto.by/catalog/prazdnichnaya-svetotehnika/professional-professionalnye-proekty/karkasnaya-illyuminatsiya/makushki-dlya-elok/514-274.html", "https://pronto.by/catalog/prazdnichnaya-svetotehnika/professional-professionalnye-proekty/karkasnaya-illyuminatsiya/makushki-dlya-elok/514-274.html")</f>
        <v>https://pronto.by/catalog/prazdnichnaya-svetotehnika/professional-professionalnye-proekty/karkasnaya-illyuminatsiya/makushki-dlya-elok/514-274.html</v>
      </c>
    </row>
    <row r="1420" spans="1:14" customFormat="1" ht="55.2">
      <c r="A1420" s="35" t="s">
        <v>3195</v>
      </c>
      <c r="B1420" s="19" t="s">
        <v>3196</v>
      </c>
      <c r="C1420" s="20" t="s">
        <v>3197</v>
      </c>
      <c r="D1420" s="36" t="s">
        <v>28</v>
      </c>
      <c r="E1420" s="37" t="s">
        <v>3290</v>
      </c>
      <c r="F1420" s="43">
        <v>765.9</v>
      </c>
      <c r="G1420" s="100">
        <f t="shared" si="21"/>
        <v>765.9</v>
      </c>
      <c r="H1420" s="101"/>
      <c r="I1420" s="100">
        <f>G1420*H1420</f>
        <v>0</v>
      </c>
      <c r="J1420" s="39" t="s">
        <v>3336</v>
      </c>
      <c r="K1420" s="40" t="s">
        <v>31</v>
      </c>
      <c r="L1420" s="41"/>
      <c r="M1420" s="42" t="s">
        <v>4291</v>
      </c>
      <c r="N1420" s="42" t="str">
        <f>HYPERLINK("https://pronto.by/catalog/product/514-272.html", "https://pronto.by/catalog/product/514-272.html")</f>
        <v>https://pronto.by/catalog/product/514-272.html</v>
      </c>
    </row>
    <row r="1421" spans="1:14" customFormat="1" ht="55.2">
      <c r="A1421" s="35" t="s">
        <v>3198</v>
      </c>
      <c r="B1421" s="19" t="s">
        <v>3199</v>
      </c>
      <c r="C1421" s="20" t="s">
        <v>3200</v>
      </c>
      <c r="D1421" s="36" t="s">
        <v>28</v>
      </c>
      <c r="E1421" s="37" t="s">
        <v>3290</v>
      </c>
      <c r="F1421" s="43">
        <v>765.9</v>
      </c>
      <c r="G1421" s="100">
        <f t="shared" si="21"/>
        <v>765.9</v>
      </c>
      <c r="H1421" s="101"/>
      <c r="I1421" s="100">
        <f>G1421*H1421</f>
        <v>0</v>
      </c>
      <c r="J1421" s="39" t="s">
        <v>3336</v>
      </c>
      <c r="K1421" s="40" t="s">
        <v>31</v>
      </c>
      <c r="L1421" s="41"/>
      <c r="M1421" s="42" t="str">
        <f>HYPERLINK("https://catalog.onliner.by/xmaslights/neonnight/nn514271", "https://catalog.onliner.by/xmaslights/neonnight/nn514271")</f>
        <v>https://catalog.onliner.by/xmaslights/neonnight/nn514271</v>
      </c>
      <c r="N1421" s="42" t="str">
        <f>HYPERLINK("https://pronto.by/catalog/product/514-271.html", "https://pronto.by/catalog/product/514-271.html")</f>
        <v>https://pronto.by/catalog/product/514-271.html</v>
      </c>
    </row>
    <row r="1422" spans="1:14" customFormat="1" ht="55.2">
      <c r="A1422" s="35" t="s">
        <v>3201</v>
      </c>
      <c r="B1422" s="19" t="s">
        <v>3202</v>
      </c>
      <c r="C1422" s="20" t="s">
        <v>3203</v>
      </c>
      <c r="D1422" s="36" t="s">
        <v>28</v>
      </c>
      <c r="E1422" s="37" t="s">
        <v>3295</v>
      </c>
      <c r="F1422" s="43">
        <v>1355.1</v>
      </c>
      <c r="G1422" s="100">
        <f t="shared" si="21"/>
        <v>1355.1</v>
      </c>
      <c r="H1422" s="101"/>
      <c r="I1422" s="100">
        <f>G1422*H1422</f>
        <v>0</v>
      </c>
      <c r="J1422" s="39" t="s">
        <v>3336</v>
      </c>
      <c r="K1422" s="40" t="s">
        <v>31</v>
      </c>
      <c r="L1422" s="41"/>
      <c r="M1422" s="42" t="s">
        <v>4292</v>
      </c>
      <c r="N1422" s="42" t="str">
        <f>HYPERLINK("https://pronto.by/catalog/product/514-273.html", "https://pronto.by/catalog/product/514-273.html")</f>
        <v>https://pronto.by/catalog/product/514-273.html</v>
      </c>
    </row>
    <row r="1423" spans="1:14" customFormat="1" ht="18" customHeight="1">
      <c r="A1423" s="81" t="s">
        <v>4293</v>
      </c>
      <c r="B1423" s="67"/>
      <c r="C1423" s="67"/>
      <c r="D1423" s="32"/>
      <c r="E1423" s="32"/>
      <c r="F1423" s="32"/>
      <c r="G1423" s="52"/>
      <c r="H1423" s="52"/>
      <c r="I1423" s="52"/>
      <c r="J1423" s="32"/>
      <c r="K1423" s="32"/>
      <c r="L1423" s="33"/>
      <c r="M1423" s="33"/>
      <c r="N1423" s="34"/>
    </row>
    <row r="1424" spans="1:14" customFormat="1" ht="71.400000000000006">
      <c r="A1424" s="35" t="s">
        <v>3204</v>
      </c>
      <c r="B1424" s="19" t="s">
        <v>3205</v>
      </c>
      <c r="C1424" s="20" t="s">
        <v>3206</v>
      </c>
      <c r="D1424" s="36" t="s">
        <v>28</v>
      </c>
      <c r="E1424" s="37" t="s">
        <v>3260</v>
      </c>
      <c r="F1424" s="43">
        <v>14.16</v>
      </c>
      <c r="G1424" s="100">
        <f t="shared" ref="G1424:G1445" si="22">ROUND(F1424-F1424*G$3,2)</f>
        <v>14.16</v>
      </c>
      <c r="H1424" s="101"/>
      <c r="I1424" s="100">
        <f>G1424*H1424</f>
        <v>0</v>
      </c>
      <c r="J1424" s="39" t="s">
        <v>3336</v>
      </c>
      <c r="K1424" s="40" t="s">
        <v>31</v>
      </c>
      <c r="L1424" s="41"/>
      <c r="M1424" s="42" t="s">
        <v>4294</v>
      </c>
      <c r="N1424" s="42" t="str">
        <f>HYPERLINK("https://pronto.by/catalog/prazdnichnaya-svetotehnika/professional-professionalnye-proekty/aksessuary-dlya-montazha/19528/124-019.html", "https://pronto.by/catalog/prazdnichnaya-svetotehnika/professional-professionalnye-proekty/aksessuary-dlya-montazha/19528/124-019.html")</f>
        <v>https://pronto.by/catalog/prazdnichnaya-svetotehnika/professional-professionalnye-proekty/aksessuary-dlya-montazha/19528/124-019.html</v>
      </c>
    </row>
    <row r="1425" spans="1:14" customFormat="1" ht="41.4">
      <c r="A1425" s="35" t="s">
        <v>3207</v>
      </c>
      <c r="B1425" s="19" t="s">
        <v>3208</v>
      </c>
      <c r="C1425" s="20" t="s">
        <v>3209</v>
      </c>
      <c r="D1425" s="36" t="s">
        <v>28</v>
      </c>
      <c r="E1425" s="37" t="s">
        <v>3260</v>
      </c>
      <c r="F1425" s="43">
        <v>14.82</v>
      </c>
      <c r="G1425" s="100">
        <f t="shared" si="22"/>
        <v>14.82</v>
      </c>
      <c r="H1425" s="101"/>
      <c r="I1425" s="100">
        <f>G1425*H1425</f>
        <v>0</v>
      </c>
      <c r="J1425" s="39" t="s">
        <v>3336</v>
      </c>
      <c r="K1425" s="40" t="s">
        <v>31</v>
      </c>
      <c r="L1425" s="41"/>
      <c r="M1425" s="42" t="str">
        <f>HYPERLINK("https://catalog.onliner.by/xmaslights/neonnight/124112", "https://catalog.onliner.by/xmaslights/neonnight/124112")</f>
        <v>https://catalog.onliner.by/xmaslights/neonnight/124112</v>
      </c>
      <c r="N1425" s="42" t="str">
        <f>HYPERLINK("https://pronto.by/catalog/product/124-112.html", "https://pronto.by/catalog/product/124-112.html")</f>
        <v>https://pronto.by/catalog/product/124-112.html</v>
      </c>
    </row>
    <row r="1426" spans="1:14" customFormat="1" ht="27.6">
      <c r="A1426" s="35" t="s">
        <v>4295</v>
      </c>
      <c r="B1426" s="19" t="s">
        <v>4296</v>
      </c>
      <c r="C1426" s="20" t="s">
        <v>4297</v>
      </c>
      <c r="D1426" s="36" t="s">
        <v>28</v>
      </c>
      <c r="E1426" s="37" t="s">
        <v>3273</v>
      </c>
      <c r="F1426" s="43">
        <v>85.14</v>
      </c>
      <c r="G1426" s="100">
        <f t="shared" si="22"/>
        <v>85.14</v>
      </c>
      <c r="H1426" s="101"/>
      <c r="I1426" s="100">
        <f>G1426*H1426</f>
        <v>0</v>
      </c>
      <c r="J1426" s="39" t="s">
        <v>3336</v>
      </c>
      <c r="K1426" s="40" t="s">
        <v>31</v>
      </c>
      <c r="L1426" s="41"/>
      <c r="M1426" s="44"/>
      <c r="N1426" s="42" t="str">
        <f>HYPERLINK("https://pronto.by/catalog/product/217-201.html", "https://pronto.by/catalog/product/217-201.html")</f>
        <v>https://pronto.by/catalog/product/217-201.html</v>
      </c>
    </row>
    <row r="1427" spans="1:14" customFormat="1" ht="55.2">
      <c r="A1427" s="35" t="s">
        <v>3210</v>
      </c>
      <c r="B1427" s="19" t="s">
        <v>3211</v>
      </c>
      <c r="C1427" s="20" t="s">
        <v>3212</v>
      </c>
      <c r="D1427" s="36" t="s">
        <v>28</v>
      </c>
      <c r="E1427" s="37" t="s">
        <v>3265</v>
      </c>
      <c r="F1427" s="43">
        <v>75.84</v>
      </c>
      <c r="G1427" s="100">
        <f t="shared" si="22"/>
        <v>75.84</v>
      </c>
      <c r="H1427" s="101"/>
      <c r="I1427" s="100">
        <f>G1427*H1427</f>
        <v>0</v>
      </c>
      <c r="J1427" s="39" t="s">
        <v>3336</v>
      </c>
      <c r="K1427" s="40" t="s">
        <v>31</v>
      </c>
      <c r="L1427" s="41"/>
      <c r="M1427" s="42" t="str">
        <f>HYPERLINK("https://catalog.onliner.by/xmaslights/neonnight/neonnight235000", "https://catalog.onliner.by/xmaslights/neonnight/neonnight235000")</f>
        <v>https://catalog.onliner.by/xmaslights/neonnight/neonnight235000</v>
      </c>
      <c r="N1427" s="42" t="str">
        <f>HYPERLINK("https://pronto.by/catalog/product/235-000.html", "https://pronto.by/catalog/product/235-000.html")</f>
        <v>https://pronto.by/catalog/product/235-000.html</v>
      </c>
    </row>
    <row r="1428" spans="1:14" customFormat="1" ht="71.400000000000006">
      <c r="A1428" s="35" t="s">
        <v>3213</v>
      </c>
      <c r="B1428" s="19" t="s">
        <v>3214</v>
      </c>
      <c r="C1428" s="20" t="s">
        <v>3215</v>
      </c>
      <c r="D1428" s="36" t="s">
        <v>28</v>
      </c>
      <c r="E1428" s="37" t="s">
        <v>3265</v>
      </c>
      <c r="F1428" s="43">
        <v>228.18</v>
      </c>
      <c r="G1428" s="100">
        <f t="shared" si="22"/>
        <v>228.18</v>
      </c>
      <c r="H1428" s="101"/>
      <c r="I1428" s="100">
        <f>G1428*H1428</f>
        <v>0</v>
      </c>
      <c r="J1428" s="39" t="s">
        <v>3336</v>
      </c>
      <c r="K1428" s="40" t="s">
        <v>31</v>
      </c>
      <c r="L1428" s="41"/>
      <c r="M1428" s="42" t="s">
        <v>4298</v>
      </c>
      <c r="N1428" s="42" t="str">
        <f>HYPERLINK("https://pronto.by/catalog/prazdnichnaya-svetotehnika/professional-professionalnye-proekty/aksessuary-dlya-montazha/19527/245-908.html", "https://pronto.by/catalog/prazdnichnaya-svetotehnika/professional-professionalnye-proekty/aksessuary-dlya-montazha/19527/245-908.html")</f>
        <v>https://pronto.by/catalog/prazdnichnaya-svetotehnika/professional-professionalnye-proekty/aksessuary-dlya-montazha/19527/245-908.html</v>
      </c>
    </row>
    <row r="1429" spans="1:14" customFormat="1" ht="71.400000000000006">
      <c r="A1429" s="35" t="s">
        <v>3216</v>
      </c>
      <c r="B1429" s="19" t="s">
        <v>3217</v>
      </c>
      <c r="C1429" s="20" t="s">
        <v>3218</v>
      </c>
      <c r="D1429" s="36" t="s">
        <v>28</v>
      </c>
      <c r="E1429" s="37" t="s">
        <v>3277</v>
      </c>
      <c r="F1429" s="43">
        <v>81.12</v>
      </c>
      <c r="G1429" s="100">
        <f t="shared" si="22"/>
        <v>81.12</v>
      </c>
      <c r="H1429" s="101"/>
      <c r="I1429" s="100">
        <f>G1429*H1429</f>
        <v>0</v>
      </c>
      <c r="J1429" s="39" t="s">
        <v>3336</v>
      </c>
      <c r="K1429" s="40" t="s">
        <v>31</v>
      </c>
      <c r="L1429" s="41"/>
      <c r="M1429" s="42" t="str">
        <f>HYPERLINK("https://catalog.onliner.by/ledcontrol/neonnight/neon255000", "https://catalog.onliner.by/ledcontrol/neonnight/neon255000")</f>
        <v>https://catalog.onliner.by/ledcontrol/neonnight/neon255000</v>
      </c>
      <c r="N1429" s="42" t="str">
        <f>HYPERLINK("https://pronto.by/catalog/prazdnichnaya-svetotehnika/professional-professionalnye-proekty/aksessuary-dlya-montazha/19527/255-000.html", "https://pronto.by/catalog/prazdnichnaya-svetotehnika/professional-professionalnye-proekty/aksessuary-dlya-montazha/19527/255-000.html")</f>
        <v>https://pronto.by/catalog/prazdnichnaya-svetotehnika/professional-professionalnye-proekty/aksessuary-dlya-montazha/19527/255-000.html</v>
      </c>
    </row>
    <row r="1430" spans="1:14" customFormat="1" ht="71.400000000000006">
      <c r="A1430" s="35" t="s">
        <v>3219</v>
      </c>
      <c r="B1430" s="19" t="s">
        <v>3220</v>
      </c>
      <c r="C1430" s="20" t="s">
        <v>3221</v>
      </c>
      <c r="D1430" s="36" t="s">
        <v>28</v>
      </c>
      <c r="E1430" s="37" t="s">
        <v>3273</v>
      </c>
      <c r="F1430" s="43">
        <v>83.28</v>
      </c>
      <c r="G1430" s="100">
        <f t="shared" si="22"/>
        <v>83.28</v>
      </c>
      <c r="H1430" s="101"/>
      <c r="I1430" s="100">
        <f>G1430*H1430</f>
        <v>0</v>
      </c>
      <c r="J1430" s="39" t="s">
        <v>3336</v>
      </c>
      <c r="K1430" s="40" t="s">
        <v>31</v>
      </c>
      <c r="L1430" s="41"/>
      <c r="M1430" s="42" t="str">
        <f>HYPERLINK("https://catalog.onliner.by/ledcontrol/neonnight/neon217203", "https://catalog.onliner.by/ledcontrol/neonnight/neon217203")</f>
        <v>https://catalog.onliner.by/ledcontrol/neonnight/neon217203</v>
      </c>
      <c r="N1430" s="42" t="str">
        <f>HYPERLINK("https://pronto.by/catalog/prazdnichnaya-svetotehnika/professional-professionalnye-proekty/aksessuary-dlya-montazha/19527/217-203.html", "https://pronto.by/catalog/prazdnichnaya-svetotehnika/professional-professionalnye-proekty/aksessuary-dlya-montazha/19527/217-203.html")</f>
        <v>https://pronto.by/catalog/prazdnichnaya-svetotehnika/professional-professionalnye-proekty/aksessuary-dlya-montazha/19527/217-203.html</v>
      </c>
    </row>
    <row r="1431" spans="1:14" customFormat="1" ht="71.400000000000006">
      <c r="A1431" s="35" t="s">
        <v>3222</v>
      </c>
      <c r="B1431" s="19" t="s">
        <v>3223</v>
      </c>
      <c r="C1431" s="20" t="s">
        <v>3224</v>
      </c>
      <c r="D1431" s="36" t="s">
        <v>28</v>
      </c>
      <c r="E1431" s="37" t="s">
        <v>3273</v>
      </c>
      <c r="F1431" s="43">
        <v>83.28</v>
      </c>
      <c r="G1431" s="100">
        <f t="shared" si="22"/>
        <v>83.28</v>
      </c>
      <c r="H1431" s="101"/>
      <c r="I1431" s="100">
        <f>G1431*H1431</f>
        <v>0</v>
      </c>
      <c r="J1431" s="39" t="s">
        <v>3336</v>
      </c>
      <c r="K1431" s="40" t="s">
        <v>69</v>
      </c>
      <c r="L1431" s="41"/>
      <c r="M1431" s="42" t="s">
        <v>3225</v>
      </c>
      <c r="N1431" s="42" t="str">
        <f>HYPERLINK("https://pronto.by/catalog/prazdnichnaya-svetotehnika/professional-professionalnye-proekty/aksessuary-dlya-montazha/19527/217-204.html", "https://pronto.by/catalog/prazdnichnaya-svetotehnika/professional-professionalnye-proekty/aksessuary-dlya-montazha/19527/217-204.html")</f>
        <v>https://pronto.by/catalog/prazdnichnaya-svetotehnika/professional-professionalnye-proekty/aksessuary-dlya-montazha/19527/217-204.html</v>
      </c>
    </row>
    <row r="1432" spans="1:14" customFormat="1" ht="71.400000000000006">
      <c r="A1432" s="35" t="s">
        <v>3226</v>
      </c>
      <c r="B1432" s="19" t="s">
        <v>3227</v>
      </c>
      <c r="C1432" s="20" t="s">
        <v>3228</v>
      </c>
      <c r="D1432" s="36" t="s">
        <v>28</v>
      </c>
      <c r="E1432" s="37" t="s">
        <v>3275</v>
      </c>
      <c r="F1432" s="43">
        <v>175.08</v>
      </c>
      <c r="G1432" s="100">
        <f t="shared" si="22"/>
        <v>175.08</v>
      </c>
      <c r="H1432" s="101"/>
      <c r="I1432" s="100">
        <f>G1432*H1432</f>
        <v>0</v>
      </c>
      <c r="J1432" s="39" t="s">
        <v>3336</v>
      </c>
      <c r="K1432" s="40" t="s">
        <v>31</v>
      </c>
      <c r="L1432" s="41"/>
      <c r="M1432" s="42" t="str">
        <f>HYPERLINK("https://catalog.onliner.by/xmaslights/neonnight/neon315407", "https://catalog.onliner.by/xmaslights/neonnight/neon315407")</f>
        <v>https://catalog.onliner.by/xmaslights/neonnight/neon315407</v>
      </c>
      <c r="N1432" s="42" t="str">
        <f>HYPERLINK("https://pronto.by/catalog/prazdnichnaya-svetotehnika/professional-professionalnye-proekty/aksessuary-dlya-montazha/19528/315-407.html", "https://pronto.by/catalog/prazdnichnaya-svetotehnika/professional-professionalnye-proekty/aksessuary-dlya-montazha/19528/315-407.html")</f>
        <v>https://pronto.by/catalog/prazdnichnaya-svetotehnika/professional-professionalnye-proekty/aksessuary-dlya-montazha/19528/315-407.html</v>
      </c>
    </row>
    <row r="1433" spans="1:14" customFormat="1" ht="41.4">
      <c r="A1433" s="35" t="s">
        <v>3229</v>
      </c>
      <c r="B1433" s="19" t="s">
        <v>3230</v>
      </c>
      <c r="C1433" s="20" t="s">
        <v>3231</v>
      </c>
      <c r="D1433" s="36" t="s">
        <v>28</v>
      </c>
      <c r="E1433" s="37" t="s">
        <v>3265</v>
      </c>
      <c r="F1433" s="43">
        <v>53.04</v>
      </c>
      <c r="G1433" s="100">
        <f t="shared" si="22"/>
        <v>53.04</v>
      </c>
      <c r="H1433" s="101"/>
      <c r="I1433" s="100">
        <f>G1433*H1433</f>
        <v>0</v>
      </c>
      <c r="J1433" s="39" t="s">
        <v>3336</v>
      </c>
      <c r="K1433" s="40" t="s">
        <v>31</v>
      </c>
      <c r="L1433" s="41"/>
      <c r="M1433" s="42" t="str">
        <f>HYPERLINK("https://catalog.onliner.by/xmaslights/neonnight/neon315406", "https://catalog.onliner.by/xmaslights/neonnight/neon315406")</f>
        <v>https://catalog.onliner.by/xmaslights/neonnight/neon315406</v>
      </c>
      <c r="N1433" s="42" t="str">
        <f>HYPERLINK("https://pronto.by/catalog/product/315-406.html", "https://pronto.by/catalog/product/315-406.html")</f>
        <v>https://pronto.by/catalog/product/315-406.html</v>
      </c>
    </row>
    <row r="1434" spans="1:14" customFormat="1" ht="71.400000000000006">
      <c r="A1434" s="35" t="s">
        <v>3232</v>
      </c>
      <c r="B1434" s="19" t="s">
        <v>3233</v>
      </c>
      <c r="C1434" s="20" t="s">
        <v>3234</v>
      </c>
      <c r="D1434" s="36" t="s">
        <v>28</v>
      </c>
      <c r="E1434" s="37" t="s">
        <v>3273</v>
      </c>
      <c r="F1434" s="43">
        <v>95.52000000000001</v>
      </c>
      <c r="G1434" s="100">
        <f t="shared" si="22"/>
        <v>95.52</v>
      </c>
      <c r="H1434" s="101"/>
      <c r="I1434" s="100">
        <f>G1434*H1434</f>
        <v>0</v>
      </c>
      <c r="J1434" s="39" t="s">
        <v>3336</v>
      </c>
      <c r="K1434" s="40" t="s">
        <v>31</v>
      </c>
      <c r="L1434" s="41"/>
      <c r="M1434" s="42" t="str">
        <f>HYPERLINK("https://catalog.onliner.by/xmaslights/neonnight/neon315409", "https://catalog.onliner.by/xmaslights/neonnight/neon315409")</f>
        <v>https://catalog.onliner.by/xmaslights/neonnight/neon315409</v>
      </c>
      <c r="N1434" s="42" t="str">
        <f>HYPERLINK("https://pronto.by/catalog/prazdnichnaya-svetotehnika/professional-professionalnye-proekty/aksessuary-dlya-montazha/19528/315-409.html", "https://pronto.by/catalog/prazdnichnaya-svetotehnika/professional-professionalnye-proekty/aksessuary-dlya-montazha/19528/315-409.html")</f>
        <v>https://pronto.by/catalog/prazdnichnaya-svetotehnika/professional-professionalnye-proekty/aksessuary-dlya-montazha/19528/315-409.html</v>
      </c>
    </row>
    <row r="1435" spans="1:14" customFormat="1" ht="71.400000000000006">
      <c r="A1435" s="35" t="s">
        <v>3235</v>
      </c>
      <c r="B1435" s="19" t="s">
        <v>3236</v>
      </c>
      <c r="C1435" s="20" t="s">
        <v>3237</v>
      </c>
      <c r="D1435" s="36" t="s">
        <v>28</v>
      </c>
      <c r="E1435" s="37" t="s">
        <v>3275</v>
      </c>
      <c r="F1435" s="43">
        <v>79.559999999999988</v>
      </c>
      <c r="G1435" s="100">
        <f t="shared" si="22"/>
        <v>79.56</v>
      </c>
      <c r="H1435" s="101"/>
      <c r="I1435" s="100">
        <f>G1435*H1435</f>
        <v>0</v>
      </c>
      <c r="J1435" s="39" t="s">
        <v>3336</v>
      </c>
      <c r="K1435" s="40" t="s">
        <v>31</v>
      </c>
      <c r="L1435" s="41"/>
      <c r="M1435" s="42" t="str">
        <f>HYPERLINK("https://catalog.onliner.by/xmaslights/neonnight/neon315408", "https://catalog.onliner.by/xmaslights/neonnight/neon315408")</f>
        <v>https://catalog.onliner.by/xmaslights/neonnight/neon315408</v>
      </c>
      <c r="N1435" s="42" t="str">
        <f>HYPERLINK("https://pronto.by/catalog/prazdnichnaya-svetotehnika/professional-professionalnye-proekty/aksessuary-dlya-montazha/19528/315-408.html", "https://pronto.by/catalog/prazdnichnaya-svetotehnika/professional-professionalnye-proekty/aksessuary-dlya-montazha/19528/315-408.html")</f>
        <v>https://pronto.by/catalog/prazdnichnaya-svetotehnika/professional-professionalnye-proekty/aksessuary-dlya-montazha/19528/315-408.html</v>
      </c>
    </row>
    <row r="1436" spans="1:14" customFormat="1" ht="41.4">
      <c r="A1436" s="53" t="s">
        <v>4299</v>
      </c>
      <c r="B1436" s="60" t="s">
        <v>4300</v>
      </c>
      <c r="C1436" s="61" t="s">
        <v>4301</v>
      </c>
      <c r="D1436" s="63" t="s">
        <v>28</v>
      </c>
      <c r="E1436" s="64"/>
      <c r="F1436" s="43">
        <v>25.32</v>
      </c>
      <c r="G1436" s="100">
        <f t="shared" si="22"/>
        <v>25.32</v>
      </c>
      <c r="H1436" s="101"/>
      <c r="I1436" s="100">
        <f>G1436*H1436</f>
        <v>0</v>
      </c>
      <c r="J1436" s="39" t="s">
        <v>3336</v>
      </c>
      <c r="K1436" s="40"/>
      <c r="L1436" s="41"/>
      <c r="M1436" s="44"/>
      <c r="N1436" s="44"/>
    </row>
    <row r="1437" spans="1:14" customFormat="1" ht="41.4">
      <c r="A1437" s="35" t="s">
        <v>3238</v>
      </c>
      <c r="B1437" s="19" t="s">
        <v>3239</v>
      </c>
      <c r="C1437" s="20" t="s">
        <v>3240</v>
      </c>
      <c r="D1437" s="36" t="s">
        <v>28</v>
      </c>
      <c r="E1437" s="37" t="s">
        <v>3260</v>
      </c>
      <c r="F1437" s="43">
        <v>25.32</v>
      </c>
      <c r="G1437" s="100">
        <f t="shared" si="22"/>
        <v>25.32</v>
      </c>
      <c r="H1437" s="101"/>
      <c r="I1437" s="100">
        <f>G1437*H1437</f>
        <v>0</v>
      </c>
      <c r="J1437" s="39" t="s">
        <v>3336</v>
      </c>
      <c r="K1437" s="40" t="s">
        <v>31</v>
      </c>
      <c r="L1437" s="41"/>
      <c r="M1437" s="42" t="str">
        <f>HYPERLINK("https://catalog.onliner.by/xmaslights/neonnight/neon315404", "https://catalog.onliner.by/xmaslights/neonnight/neon315404")</f>
        <v>https://catalog.onliner.by/xmaslights/neonnight/neon315404</v>
      </c>
      <c r="N1437" s="42" t="str">
        <f>HYPERLINK("https://pronto.by/catalog/product/315-404.html", "https://pronto.by/catalog/product/315-404.html")</f>
        <v>https://pronto.by/catalog/product/315-404.html</v>
      </c>
    </row>
    <row r="1438" spans="1:14" customFormat="1" ht="41.4">
      <c r="A1438" s="35" t="s">
        <v>3241</v>
      </c>
      <c r="B1438" s="19" t="s">
        <v>3242</v>
      </c>
      <c r="C1438" s="20" t="s">
        <v>3243</v>
      </c>
      <c r="D1438" s="36" t="s">
        <v>28</v>
      </c>
      <c r="E1438" s="37" t="s">
        <v>3264</v>
      </c>
      <c r="F1438" s="43">
        <v>48.12</v>
      </c>
      <c r="G1438" s="100">
        <f t="shared" si="22"/>
        <v>48.12</v>
      </c>
      <c r="H1438" s="101"/>
      <c r="I1438" s="100">
        <f>G1438*H1438</f>
        <v>0</v>
      </c>
      <c r="J1438" s="39" t="s">
        <v>3336</v>
      </c>
      <c r="K1438" s="40" t="s">
        <v>31</v>
      </c>
      <c r="L1438" s="41"/>
      <c r="M1438" s="42" t="str">
        <f>HYPERLINK("https://catalog.onliner.by/xmaslights/neonnight/neon315434", "https://catalog.onliner.by/xmaslights/neonnight/neon315434")</f>
        <v>https://catalog.onliner.by/xmaslights/neonnight/neon315434</v>
      </c>
      <c r="N1438" s="42" t="str">
        <f>HYPERLINK("https://pronto.by/catalog/product/315-434.html", "https://pronto.by/catalog/product/315-434.html")</f>
        <v>https://pronto.by/catalog/product/315-434.html</v>
      </c>
    </row>
    <row r="1439" spans="1:14" customFormat="1" ht="41.4">
      <c r="A1439" s="53" t="s">
        <v>4302</v>
      </c>
      <c r="B1439" s="60" t="s">
        <v>4303</v>
      </c>
      <c r="C1439" s="61" t="s">
        <v>4304</v>
      </c>
      <c r="D1439" s="63" t="s">
        <v>28</v>
      </c>
      <c r="E1439" s="64"/>
      <c r="F1439" s="43">
        <v>17.16</v>
      </c>
      <c r="G1439" s="100">
        <f t="shared" si="22"/>
        <v>17.16</v>
      </c>
      <c r="H1439" s="101"/>
      <c r="I1439" s="100">
        <f>G1439*H1439</f>
        <v>0</v>
      </c>
      <c r="J1439" s="39" t="s">
        <v>3336</v>
      </c>
      <c r="K1439" s="40"/>
      <c r="L1439" s="41"/>
      <c r="M1439" s="44"/>
      <c r="N1439" s="44"/>
    </row>
    <row r="1440" spans="1:14" customFormat="1" ht="41.4">
      <c r="A1440" s="35" t="s">
        <v>3244</v>
      </c>
      <c r="B1440" s="19" t="s">
        <v>3245</v>
      </c>
      <c r="C1440" s="20" t="s">
        <v>3246</v>
      </c>
      <c r="D1440" s="36" t="s">
        <v>28</v>
      </c>
      <c r="E1440" s="37" t="s">
        <v>3272</v>
      </c>
      <c r="F1440" s="43">
        <v>32.28</v>
      </c>
      <c r="G1440" s="100">
        <f t="shared" si="22"/>
        <v>32.28</v>
      </c>
      <c r="H1440" s="101"/>
      <c r="I1440" s="100">
        <f>G1440*H1440</f>
        <v>0</v>
      </c>
      <c r="J1440" s="39" t="s">
        <v>3336</v>
      </c>
      <c r="K1440" s="40" t="s">
        <v>31</v>
      </c>
      <c r="L1440" s="41"/>
      <c r="M1440" s="42" t="str">
        <f>HYPERLINK("https://catalog.onliner.by/xmaslights/neonnight/315421", "https://catalog.onliner.by/xmaslights/neonnight/315421")</f>
        <v>https://catalog.onliner.by/xmaslights/neonnight/315421</v>
      </c>
      <c r="N1440" s="42" t="str">
        <f>HYPERLINK("https://pronto.by/catalog/product/315-421.html", "https://pronto.by/catalog/product/315-421.html")</f>
        <v>https://pronto.by/catalog/product/315-421.html</v>
      </c>
    </row>
    <row r="1441" spans="1:14" customFormat="1" ht="41.4">
      <c r="A1441" s="53" t="s">
        <v>4305</v>
      </c>
      <c r="B1441" s="60" t="s">
        <v>4306</v>
      </c>
      <c r="C1441" s="61" t="s">
        <v>4307</v>
      </c>
      <c r="D1441" s="63" t="s">
        <v>28</v>
      </c>
      <c r="E1441" s="64"/>
      <c r="F1441" s="43">
        <v>32.28</v>
      </c>
      <c r="G1441" s="100">
        <f t="shared" si="22"/>
        <v>32.28</v>
      </c>
      <c r="H1441" s="101"/>
      <c r="I1441" s="100">
        <f>G1441*H1441</f>
        <v>0</v>
      </c>
      <c r="J1441" s="39" t="s">
        <v>3336</v>
      </c>
      <c r="K1441" s="40"/>
      <c r="L1441" s="41"/>
      <c r="M1441" s="44"/>
      <c r="N1441" s="44"/>
    </row>
    <row r="1442" spans="1:14" customFormat="1" ht="41.4">
      <c r="A1442" s="53" t="s">
        <v>4308</v>
      </c>
      <c r="B1442" s="60" t="s">
        <v>4309</v>
      </c>
      <c r="C1442" s="61" t="s">
        <v>4310</v>
      </c>
      <c r="D1442" s="63" t="s">
        <v>28</v>
      </c>
      <c r="E1442" s="64"/>
      <c r="F1442" s="43">
        <v>17.16</v>
      </c>
      <c r="G1442" s="100">
        <f t="shared" si="22"/>
        <v>17.16</v>
      </c>
      <c r="H1442" s="101"/>
      <c r="I1442" s="100">
        <f>G1442*H1442</f>
        <v>0</v>
      </c>
      <c r="J1442" s="39" t="s">
        <v>3336</v>
      </c>
      <c r="K1442" s="40"/>
      <c r="L1442" s="41"/>
      <c r="M1442" s="44"/>
      <c r="N1442" s="44"/>
    </row>
    <row r="1443" spans="1:14" customFormat="1" ht="41.4">
      <c r="A1443" s="35" t="s">
        <v>3247</v>
      </c>
      <c r="B1443" s="19" t="s">
        <v>3248</v>
      </c>
      <c r="C1443" s="20" t="s">
        <v>3249</v>
      </c>
      <c r="D1443" s="36" t="s">
        <v>28</v>
      </c>
      <c r="E1443" s="37" t="s">
        <v>3260</v>
      </c>
      <c r="F1443" s="43">
        <v>34.14</v>
      </c>
      <c r="G1443" s="100">
        <f t="shared" si="22"/>
        <v>34.14</v>
      </c>
      <c r="H1443" s="101"/>
      <c r="I1443" s="100">
        <f>G1443*H1443</f>
        <v>0</v>
      </c>
      <c r="J1443" s="39" t="s">
        <v>3336</v>
      </c>
      <c r="K1443" s="40" t="s">
        <v>31</v>
      </c>
      <c r="L1443" s="41"/>
      <c r="M1443" s="44"/>
      <c r="N1443" s="44"/>
    </row>
    <row r="1444" spans="1:14" customFormat="1" ht="41.4">
      <c r="A1444" s="35" t="s">
        <v>3250</v>
      </c>
      <c r="B1444" s="19" t="s">
        <v>3251</v>
      </c>
      <c r="C1444" s="20" t="s">
        <v>3252</v>
      </c>
      <c r="D1444" s="36" t="s">
        <v>28</v>
      </c>
      <c r="E1444" s="37" t="s">
        <v>3260</v>
      </c>
      <c r="F1444" s="43">
        <v>14.520000000000001</v>
      </c>
      <c r="G1444" s="100">
        <f t="shared" si="22"/>
        <v>14.52</v>
      </c>
      <c r="H1444" s="101"/>
      <c r="I1444" s="100">
        <f>G1444*H1444</f>
        <v>0</v>
      </c>
      <c r="J1444" s="39" t="s">
        <v>3336</v>
      </c>
      <c r="K1444" s="40" t="s">
        <v>31</v>
      </c>
      <c r="L1444" s="41"/>
      <c r="M1444" s="44"/>
      <c r="N1444" s="44"/>
    </row>
    <row r="1445" spans="1:14" customFormat="1" ht="41.4">
      <c r="A1445" s="35" t="s">
        <v>3253</v>
      </c>
      <c r="B1445" s="19" t="s">
        <v>3254</v>
      </c>
      <c r="C1445" s="20" t="s">
        <v>3255</v>
      </c>
      <c r="D1445" s="36" t="s">
        <v>28</v>
      </c>
      <c r="E1445" s="37" t="s">
        <v>3260</v>
      </c>
      <c r="F1445" s="43">
        <v>14.520000000000001</v>
      </c>
      <c r="G1445" s="100">
        <f t="shared" si="22"/>
        <v>14.52</v>
      </c>
      <c r="H1445" s="101"/>
      <c r="I1445" s="100">
        <f>G1445*H1445</f>
        <v>0</v>
      </c>
      <c r="J1445" s="39" t="s">
        <v>3336</v>
      </c>
      <c r="K1445" s="40" t="s">
        <v>31</v>
      </c>
      <c r="L1445" s="41"/>
      <c r="M1445" s="44"/>
      <c r="N1445" s="44"/>
    </row>
  </sheetData>
  <autoFilter ref="A1:A1445"/>
  <mergeCells count="155">
    <mergeCell ref="A840:C840"/>
    <mergeCell ref="A847:C847"/>
    <mergeCell ref="A851:C851"/>
    <mergeCell ref="A853:C853"/>
    <mergeCell ref="A857:C857"/>
    <mergeCell ref="A858:C858"/>
    <mergeCell ref="A862:C862"/>
    <mergeCell ref="A696:C696"/>
    <mergeCell ref="A699:C699"/>
    <mergeCell ref="A702:C702"/>
    <mergeCell ref="A759:C759"/>
    <mergeCell ref="A760:C760"/>
    <mergeCell ref="A769:C769"/>
    <mergeCell ref="A797:C797"/>
    <mergeCell ref="A819:C819"/>
    <mergeCell ref="A832:C832"/>
    <mergeCell ref="A630:C630"/>
    <mergeCell ref="A641:C641"/>
    <mergeCell ref="A646:C646"/>
    <mergeCell ref="A664:C664"/>
    <mergeCell ref="A665:C665"/>
    <mergeCell ref="A670:C670"/>
    <mergeCell ref="A673:C673"/>
    <mergeCell ref="A679:C679"/>
    <mergeCell ref="A681:C681"/>
    <mergeCell ref="A562:C562"/>
    <mergeCell ref="A569:C569"/>
    <mergeCell ref="A570:C570"/>
    <mergeCell ref="A584:C584"/>
    <mergeCell ref="A592:C592"/>
    <mergeCell ref="A597:C597"/>
    <mergeCell ref="A602:C602"/>
    <mergeCell ref="A603:C603"/>
    <mergeCell ref="A604:C604"/>
    <mergeCell ref="A1393:C1393"/>
    <mergeCell ref="A1402:C1402"/>
    <mergeCell ref="A1414:C1414"/>
    <mergeCell ref="A1423:C1423"/>
    <mergeCell ref="A1272:C1272"/>
    <mergeCell ref="A1275:C1275"/>
    <mergeCell ref="A1278:C1278"/>
    <mergeCell ref="A1282:C1282"/>
    <mergeCell ref="A1284:C1284"/>
    <mergeCell ref="A1285:C1285"/>
    <mergeCell ref="A1308:C1308"/>
    <mergeCell ref="A1241:C1241"/>
    <mergeCell ref="A1249:C1249"/>
    <mergeCell ref="A1256:C1256"/>
    <mergeCell ref="A1264:C1264"/>
    <mergeCell ref="A1269:C1269"/>
    <mergeCell ref="A1349:C1349"/>
    <mergeCell ref="A1359:C1359"/>
    <mergeCell ref="A1360:C1360"/>
    <mergeCell ref="A1382:C1382"/>
    <mergeCell ref="A1166:C1166"/>
    <mergeCell ref="A1176:C1176"/>
    <mergeCell ref="A1188:C1188"/>
    <mergeCell ref="A1199:C1199"/>
    <mergeCell ref="A1200:C1200"/>
    <mergeCell ref="A1218:C1218"/>
    <mergeCell ref="A1221:C1221"/>
    <mergeCell ref="A1234:C1234"/>
    <mergeCell ref="A1235:C1235"/>
    <mergeCell ref="A1073:C1073"/>
    <mergeCell ref="A1107:C1107"/>
    <mergeCell ref="A1122:C1122"/>
    <mergeCell ref="A1128:C1128"/>
    <mergeCell ref="A1138:C1138"/>
    <mergeCell ref="A1143:C1143"/>
    <mergeCell ref="A1148:C1148"/>
    <mergeCell ref="A1153:C1153"/>
    <mergeCell ref="A1154:C1154"/>
    <mergeCell ref="A968:C968"/>
    <mergeCell ref="A972:C972"/>
    <mergeCell ref="A979:C979"/>
    <mergeCell ref="A983:C983"/>
    <mergeCell ref="A986:C986"/>
    <mergeCell ref="A992:C992"/>
    <mergeCell ref="A995:C995"/>
    <mergeCell ref="A996:C996"/>
    <mergeCell ref="A1006:C1006"/>
    <mergeCell ref="A903:C903"/>
    <mergeCell ref="A906:C906"/>
    <mergeCell ref="A911:C911"/>
    <mergeCell ref="A929:C929"/>
    <mergeCell ref="A936:C936"/>
    <mergeCell ref="A951:C951"/>
    <mergeCell ref="A954:C954"/>
    <mergeCell ref="A955:C955"/>
    <mergeCell ref="A959:C959"/>
    <mergeCell ref="A269:C269"/>
    <mergeCell ref="A293:C293"/>
    <mergeCell ref="A319:C319"/>
    <mergeCell ref="A328:C328"/>
    <mergeCell ref="A340:C340"/>
    <mergeCell ref="A378:C378"/>
    <mergeCell ref="A527:C527"/>
    <mergeCell ref="A542:C542"/>
    <mergeCell ref="A876:C876"/>
    <mergeCell ref="A387:C387"/>
    <mergeCell ref="A398:C398"/>
    <mergeCell ref="A411:C411"/>
    <mergeCell ref="A415:C415"/>
    <mergeCell ref="A433:C433"/>
    <mergeCell ref="A442:C442"/>
    <mergeCell ref="A454:C454"/>
    <mergeCell ref="A455:C455"/>
    <mergeCell ref="A466:C466"/>
    <mergeCell ref="A477:C477"/>
    <mergeCell ref="A483:C483"/>
    <mergeCell ref="A493:C493"/>
    <mergeCell ref="A494:C494"/>
    <mergeCell ref="A511:C511"/>
    <mergeCell ref="A551:C551"/>
    <mergeCell ref="A178:C178"/>
    <mergeCell ref="A185:C185"/>
    <mergeCell ref="A190:C190"/>
    <mergeCell ref="A196:C196"/>
    <mergeCell ref="A199:C199"/>
    <mergeCell ref="A202:C202"/>
    <mergeCell ref="A205:C205"/>
    <mergeCell ref="A206:C206"/>
    <mergeCell ref="A234:C234"/>
    <mergeCell ref="A103:C103"/>
    <mergeCell ref="A107:C107"/>
    <mergeCell ref="A113:C113"/>
    <mergeCell ref="A132:C132"/>
    <mergeCell ref="A138:C138"/>
    <mergeCell ref="A146:C146"/>
    <mergeCell ref="A154:C154"/>
    <mergeCell ref="A162:C162"/>
    <mergeCell ref="A170:C170"/>
    <mergeCell ref="A11:K11"/>
    <mergeCell ref="A12:N12"/>
    <mergeCell ref="A13:C13"/>
    <mergeCell ref="A43:C43"/>
    <mergeCell ref="A70:C70"/>
    <mergeCell ref="A90:C90"/>
    <mergeCell ref="A91:C91"/>
    <mergeCell ref="A93:C93"/>
    <mergeCell ref="A98:C98"/>
    <mergeCell ref="A1:C1"/>
    <mergeCell ref="D1:N1"/>
    <mergeCell ref="A4:N4"/>
    <mergeCell ref="A5:K5"/>
    <mergeCell ref="A6:K6"/>
    <mergeCell ref="A7:K7"/>
    <mergeCell ref="A8:K8"/>
    <mergeCell ref="A9:K9"/>
    <mergeCell ref="A10:K10"/>
    <mergeCell ref="A2:A3"/>
    <mergeCell ref="B2:B3"/>
    <mergeCell ref="C2:C3"/>
    <mergeCell ref="D2:D3"/>
    <mergeCell ref="E2:E3"/>
  </mergeCells>
  <hyperlinks>
    <hyperlink ref="L5" r:id="rId1"/>
    <hyperlink ref="L6" r:id="rId2"/>
    <hyperlink ref="L7" r:id="rId3"/>
    <hyperlink ref="L8" r:id="rId4"/>
    <hyperlink ref="L9" r:id="rId5"/>
    <hyperlink ref="L10" r:id="rId6"/>
    <hyperlink ref="L11" r:id="rId7"/>
    <hyperlink ref="M135" r:id="rId8"/>
    <hyperlink ref="M147" r:id="rId9"/>
    <hyperlink ref="M151" r:id="rId10"/>
    <hyperlink ref="M159" r:id="rId11"/>
    <hyperlink ref="M169" r:id="rId12"/>
    <hyperlink ref="M172" r:id="rId13"/>
    <hyperlink ref="M201" r:id="rId14"/>
    <hyperlink ref="M217" r:id="rId15"/>
    <hyperlink ref="M227" r:id="rId16"/>
    <hyperlink ref="M230" r:id="rId17"/>
    <hyperlink ref="M231" r:id="rId18"/>
    <hyperlink ref="M232" r:id="rId19"/>
    <hyperlink ref="M233" r:id="rId20"/>
    <hyperlink ref="M235" r:id="rId21"/>
    <hyperlink ref="L243" r:id="rId22"/>
    <hyperlink ref="L245" r:id="rId23"/>
    <hyperlink ref="L246" r:id="rId24"/>
    <hyperlink ref="L248" r:id="rId25"/>
    <hyperlink ref="L251" r:id="rId26"/>
    <hyperlink ref="L252" r:id="rId27"/>
    <hyperlink ref="L259" r:id="rId28"/>
    <hyperlink ref="L260" r:id="rId29"/>
    <hyperlink ref="M265" r:id="rId30"/>
    <hyperlink ref="L270" r:id="rId31"/>
    <hyperlink ref="L271" r:id="rId32"/>
    <hyperlink ref="M272" r:id="rId33"/>
    <hyperlink ref="M273" r:id="rId34"/>
    <hyperlink ref="M274" r:id="rId35"/>
    <hyperlink ref="L275" r:id="rId36"/>
    <hyperlink ref="L279" r:id="rId37"/>
    <hyperlink ref="L281" r:id="rId38"/>
    <hyperlink ref="L282" r:id="rId39"/>
    <hyperlink ref="L283" r:id="rId40"/>
    <hyperlink ref="L284" r:id="rId41"/>
    <hyperlink ref="L286" r:id="rId42"/>
    <hyperlink ref="L287" r:id="rId43"/>
    <hyperlink ref="L288" r:id="rId44"/>
    <hyperlink ref="L290" r:id="rId45"/>
    <hyperlink ref="L291" r:id="rId46"/>
    <hyperlink ref="M338" r:id="rId47"/>
    <hyperlink ref="M339" r:id="rId48"/>
    <hyperlink ref="M358" r:id="rId49"/>
    <hyperlink ref="M359" r:id="rId50"/>
    <hyperlink ref="L364" r:id="rId51"/>
    <hyperlink ref="L379" r:id="rId52"/>
    <hyperlink ref="L381" r:id="rId53"/>
    <hyperlink ref="L382" r:id="rId54"/>
    <hyperlink ref="L383" r:id="rId55"/>
    <hyperlink ref="M386" r:id="rId56"/>
    <hyperlink ref="L388" r:id="rId57"/>
    <hyperlink ref="L389" r:id="rId58"/>
    <hyperlink ref="L390" r:id="rId59"/>
    <hyperlink ref="L391" r:id="rId60"/>
    <hyperlink ref="L392" r:id="rId61"/>
    <hyperlink ref="L393" r:id="rId62"/>
    <hyperlink ref="L394" r:id="rId63"/>
    <hyperlink ref="L399" r:id="rId64"/>
    <hyperlink ref="L401" r:id="rId65"/>
    <hyperlink ref="L402" r:id="rId66"/>
    <hyperlink ref="L403" r:id="rId67"/>
    <hyperlink ref="L404" r:id="rId68"/>
    <hyperlink ref="L405" r:id="rId69"/>
    <hyperlink ref="L407" r:id="rId70"/>
    <hyperlink ref="L408" r:id="rId71"/>
    <hyperlink ref="L410" r:id="rId72"/>
    <hyperlink ref="L414" r:id="rId73"/>
    <hyperlink ref="M435" r:id="rId74"/>
    <hyperlink ref="L484" r:id="rId75"/>
    <hyperlink ref="L485" r:id="rId76"/>
    <hyperlink ref="L486" r:id="rId77"/>
    <hyperlink ref="L487" r:id="rId78"/>
    <hyperlink ref="L488" r:id="rId79"/>
    <hyperlink ref="L490" r:id="rId80"/>
    <hyperlink ref="L491" r:id="rId81"/>
    <hyperlink ref="L492" r:id="rId82"/>
    <hyperlink ref="M514" r:id="rId83"/>
    <hyperlink ref="L552" r:id="rId84"/>
    <hyperlink ref="L553" r:id="rId85"/>
    <hyperlink ref="M563" r:id="rId86"/>
    <hyperlink ref="M564" r:id="rId87"/>
    <hyperlink ref="L567" r:id="rId88"/>
    <hyperlink ref="L568" r:id="rId89"/>
    <hyperlink ref="M629" r:id="rId90"/>
    <hyperlink ref="M631" r:id="rId91"/>
    <hyperlink ref="M632" r:id="rId92"/>
    <hyperlink ref="L633" r:id="rId93"/>
    <hyperlink ref="M633" r:id="rId94"/>
    <hyperlink ref="M634" r:id="rId95"/>
    <hyperlink ref="M635" r:id="rId96"/>
    <hyperlink ref="L636" r:id="rId97"/>
    <hyperlink ref="M636" r:id="rId98"/>
    <hyperlink ref="M637" r:id="rId99"/>
    <hyperlink ref="L638" r:id="rId100"/>
    <hyperlink ref="M638" r:id="rId101"/>
    <hyperlink ref="M639" r:id="rId102"/>
    <hyperlink ref="M640" r:id="rId103"/>
    <hyperlink ref="L642" r:id="rId104"/>
    <hyperlink ref="M642" r:id="rId105"/>
    <hyperlink ref="M643" r:id="rId106"/>
    <hyperlink ref="L644" r:id="rId107"/>
    <hyperlink ref="M644" r:id="rId108"/>
    <hyperlink ref="M645" r:id="rId109"/>
    <hyperlink ref="M647" r:id="rId110"/>
    <hyperlink ref="M648" r:id="rId111"/>
    <hyperlink ref="M649" r:id="rId112"/>
    <hyperlink ref="M653" r:id="rId113"/>
    <hyperlink ref="M657" r:id="rId114"/>
    <hyperlink ref="M658" r:id="rId115"/>
    <hyperlink ref="M659" r:id="rId116"/>
    <hyperlink ref="M684" r:id="rId117"/>
    <hyperlink ref="M685" r:id="rId118"/>
    <hyperlink ref="L765" r:id="rId119"/>
    <hyperlink ref="L772" r:id="rId120"/>
    <hyperlink ref="L774" r:id="rId121"/>
    <hyperlink ref="L803" r:id="rId122"/>
    <hyperlink ref="L805" r:id="rId123"/>
    <hyperlink ref="L814" r:id="rId124"/>
    <hyperlink ref="L829" r:id="rId125"/>
    <hyperlink ref="M836" r:id="rId126"/>
    <hyperlink ref="L856" r:id="rId127"/>
    <hyperlink ref="M901" r:id="rId128"/>
    <hyperlink ref="M902" r:id="rId129"/>
    <hyperlink ref="M909" r:id="rId130"/>
    <hyperlink ref="M910" r:id="rId131"/>
    <hyperlink ref="M943" r:id="rId132"/>
    <hyperlink ref="L958" r:id="rId133"/>
    <hyperlink ref="L960" r:id="rId134"/>
    <hyperlink ref="L963" r:id="rId135"/>
    <hyperlink ref="L964" r:id="rId136"/>
    <hyperlink ref="L966" r:id="rId137"/>
    <hyperlink ref="L969" r:id="rId138"/>
    <hyperlink ref="L978" r:id="rId139"/>
    <hyperlink ref="L980" r:id="rId140"/>
    <hyperlink ref="L982" r:id="rId141"/>
    <hyperlink ref="M1000" r:id="rId142"/>
    <hyperlink ref="M1001" r:id="rId143"/>
    <hyperlink ref="M1058" r:id="rId144"/>
    <hyperlink ref="M1067" r:id="rId145"/>
    <hyperlink ref="M1068" r:id="rId146"/>
    <hyperlink ref="M1069" r:id="rId147"/>
    <hyperlink ref="M1104" r:id="rId148"/>
    <hyperlink ref="L1108" r:id="rId149"/>
    <hyperlink ref="M1109" r:id="rId150"/>
    <hyperlink ref="L1110" r:id="rId151"/>
    <hyperlink ref="L1118" r:id="rId152"/>
    <hyperlink ref="L1119" r:id="rId153"/>
    <hyperlink ref="L1121" r:id="rId154"/>
    <hyperlink ref="L1123" r:id="rId155"/>
    <hyperlink ref="M1159" r:id="rId156"/>
    <hyperlink ref="L1185" r:id="rId157"/>
    <hyperlink ref="L1189" r:id="rId158"/>
    <hyperlink ref="L1190" r:id="rId159"/>
    <hyperlink ref="L1191" r:id="rId160"/>
    <hyperlink ref="M1192" r:id="rId161"/>
    <hyperlink ref="M1195" r:id="rId162"/>
    <hyperlink ref="L1196" r:id="rId163"/>
    <hyperlink ref="M1224" r:id="rId164"/>
    <hyperlink ref="M1225" r:id="rId165"/>
    <hyperlink ref="M1226" r:id="rId166"/>
    <hyperlink ref="M1227" r:id="rId167"/>
    <hyperlink ref="M1228" r:id="rId168"/>
    <hyperlink ref="L1257" r:id="rId169"/>
    <hyperlink ref="M1267" r:id="rId170"/>
    <hyperlink ref="M1409" r:id="rId171"/>
    <hyperlink ref="M1410" r:id="rId172"/>
    <hyperlink ref="M1420" r:id="rId173"/>
    <hyperlink ref="M1422" r:id="rId174"/>
    <hyperlink ref="M1424" r:id="rId175"/>
    <hyperlink ref="M1428" r:id="rId176"/>
    <hyperlink ref="M1431" r:id="rId177"/>
  </hyperlinks>
  <pageMargins left="0.7" right="0.7" top="0.75" bottom="0.75" header="0.3" footer="0.3"/>
  <pageSetup paperSize="9" orientation="portrait" r:id="rId1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Контакты</vt:lpstr>
      <vt:lpstr>Neon-Night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efimovich</dc:creator>
  <cp:lastModifiedBy>efimovich</cp:lastModifiedBy>
  <dcterms:created xsi:type="dcterms:W3CDTF">2025-11-19T11:31:17Z</dcterms:created>
  <dcterms:modified xsi:type="dcterms:W3CDTF">2025-11-20T03:24:33Z</dcterms:modified>
</cp:coreProperties>
</file>